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ky/Documents/01 QUANTUM/Administrace VR/102 Mesto Bruntal/06 Celoplosne opravy MK/ZD vcetne priloh/P01 Soupisy stavebnich praci/"/>
    </mc:Choice>
  </mc:AlternateContent>
  <xr:revisionPtr revIDLastSave="0" documentId="13_ncr:1_{9103311E-0A7C-BE45-8D4D-60F5F431275A}" xr6:coauthVersionLast="47" xr6:coauthVersionMax="47" xr10:uidLastSave="{00000000-0000-0000-0000-000000000000}"/>
  <bookViews>
    <workbookView xWindow="4580" yWindow="2100" windowWidth="27220" windowHeight="10580" activeTab="3" xr2:uid="{00000000-000D-0000-FFFF-FFFF00000000}"/>
  </bookViews>
  <sheets>
    <sheet name="Stavební rozpočet - součet" sheetId="1" r:id="rId1"/>
    <sheet name="Krycí list rozpočtu" sheetId="2" r:id="rId2"/>
    <sheet name="VORN" sheetId="3" state="hidden" r:id="rId3"/>
    <sheet name="Stavební rozpočet" sheetId="4" r:id="rId4"/>
  </sheets>
  <definedNames>
    <definedName name="vorn_sum">VORN!$I$36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J70" i="4" l="1"/>
  <c r="BF70" i="4"/>
  <c r="BD70" i="4"/>
  <c r="AP70" i="4"/>
  <c r="BI70" i="4" s="1"/>
  <c r="AO70" i="4"/>
  <c r="BH70" i="4" s="1"/>
  <c r="AK70" i="4"/>
  <c r="AT69" i="4" s="1"/>
  <c r="AJ70" i="4"/>
  <c r="AH70" i="4"/>
  <c r="AG70" i="4"/>
  <c r="AF70" i="4"/>
  <c r="AE70" i="4"/>
  <c r="AD70" i="4"/>
  <c r="AC70" i="4"/>
  <c r="AB70" i="4"/>
  <c r="Z70" i="4"/>
  <c r="I70" i="4"/>
  <c r="AL70" i="4" s="1"/>
  <c r="AU69" i="4" s="1"/>
  <c r="AS69" i="4"/>
  <c r="I69" i="4"/>
  <c r="G22" i="1" s="1"/>
  <c r="I22" i="1" s="1"/>
  <c r="BJ68" i="4"/>
  <c r="Z68" i="4" s="1"/>
  <c r="BF68" i="4"/>
  <c r="BD68" i="4"/>
  <c r="AP68" i="4"/>
  <c r="BI68" i="4" s="1"/>
  <c r="AO68" i="4"/>
  <c r="BH68" i="4" s="1"/>
  <c r="AK68" i="4"/>
  <c r="AJ68" i="4"/>
  <c r="AH68" i="4"/>
  <c r="AG68" i="4"/>
  <c r="AF68" i="4"/>
  <c r="AE68" i="4"/>
  <c r="AD68" i="4"/>
  <c r="AC68" i="4"/>
  <c r="AB68" i="4"/>
  <c r="I68" i="4"/>
  <c r="AL68" i="4" s="1"/>
  <c r="BJ66" i="4"/>
  <c r="BF66" i="4"/>
  <c r="BD66" i="4"/>
  <c r="AP66" i="4"/>
  <c r="BI66" i="4" s="1"/>
  <c r="AC66" i="4" s="1"/>
  <c r="AO66" i="4"/>
  <c r="BH66" i="4" s="1"/>
  <c r="AB66" i="4" s="1"/>
  <c r="AK66" i="4"/>
  <c r="AJ66" i="4"/>
  <c r="AH66" i="4"/>
  <c r="AG66" i="4"/>
  <c r="AF66" i="4"/>
  <c r="AE66" i="4"/>
  <c r="AD66" i="4"/>
  <c r="Z66" i="4"/>
  <c r="I66" i="4"/>
  <c r="AL66" i="4" s="1"/>
  <c r="BJ65" i="4"/>
  <c r="BF65" i="4"/>
  <c r="BD65" i="4"/>
  <c r="AP65" i="4"/>
  <c r="BI65" i="4" s="1"/>
  <c r="AC65" i="4" s="1"/>
  <c r="AO65" i="4"/>
  <c r="BH65" i="4" s="1"/>
  <c r="AB65" i="4" s="1"/>
  <c r="AK65" i="4"/>
  <c r="AJ65" i="4"/>
  <c r="AS62" i="4" s="1"/>
  <c r="AH65" i="4"/>
  <c r="AG65" i="4"/>
  <c r="AF65" i="4"/>
  <c r="AE65" i="4"/>
  <c r="AD65" i="4"/>
  <c r="Z65" i="4"/>
  <c r="I65" i="4"/>
  <c r="AL65" i="4" s="1"/>
  <c r="BJ63" i="4"/>
  <c r="BF63" i="4"/>
  <c r="BD63" i="4"/>
  <c r="AP63" i="4"/>
  <c r="BI63" i="4" s="1"/>
  <c r="AC63" i="4" s="1"/>
  <c r="AO63" i="4"/>
  <c r="BH63" i="4" s="1"/>
  <c r="AB63" i="4" s="1"/>
  <c r="AK63" i="4"/>
  <c r="AJ63" i="4"/>
  <c r="AH63" i="4"/>
  <c r="AG63" i="4"/>
  <c r="AF63" i="4"/>
  <c r="AE63" i="4"/>
  <c r="AD63" i="4"/>
  <c r="Z63" i="4"/>
  <c r="I63" i="4"/>
  <c r="AL63" i="4" s="1"/>
  <c r="BJ60" i="4"/>
  <c r="BF60" i="4"/>
  <c r="BD60" i="4"/>
  <c r="AP60" i="4"/>
  <c r="BI60" i="4" s="1"/>
  <c r="AC60" i="4" s="1"/>
  <c r="AO60" i="4"/>
  <c r="BH60" i="4" s="1"/>
  <c r="AB60" i="4" s="1"/>
  <c r="AK60" i="4"/>
  <c r="AT59" i="4" s="1"/>
  <c r="AJ60" i="4"/>
  <c r="AS59" i="4" s="1"/>
  <c r="AH60" i="4"/>
  <c r="AG60" i="4"/>
  <c r="AF60" i="4"/>
  <c r="AE60" i="4"/>
  <c r="AD60" i="4"/>
  <c r="Z60" i="4"/>
  <c r="I60" i="4"/>
  <c r="AL60" i="4" s="1"/>
  <c r="AU59" i="4" s="1"/>
  <c r="BJ58" i="4"/>
  <c r="BF58" i="4"/>
  <c r="BD58" i="4"/>
  <c r="AP58" i="4"/>
  <c r="BI58" i="4" s="1"/>
  <c r="AC58" i="4" s="1"/>
  <c r="AO58" i="4"/>
  <c r="BH58" i="4" s="1"/>
  <c r="AB58" i="4" s="1"/>
  <c r="AK58" i="4"/>
  <c r="AJ58" i="4"/>
  <c r="AH58" i="4"/>
  <c r="AG58" i="4"/>
  <c r="AF58" i="4"/>
  <c r="AE58" i="4"/>
  <c r="AD58" i="4"/>
  <c r="Z58" i="4"/>
  <c r="I58" i="4"/>
  <c r="AL58" i="4" s="1"/>
  <c r="BJ57" i="4"/>
  <c r="BF57" i="4"/>
  <c r="BD57" i="4"/>
  <c r="AP57" i="4"/>
  <c r="BI57" i="4" s="1"/>
  <c r="AC57" i="4" s="1"/>
  <c r="AO57" i="4"/>
  <c r="BH57" i="4" s="1"/>
  <c r="AB57" i="4" s="1"/>
  <c r="AK57" i="4"/>
  <c r="AT56" i="4" s="1"/>
  <c r="AJ57" i="4"/>
  <c r="AH57" i="4"/>
  <c r="AG57" i="4"/>
  <c r="AF57" i="4"/>
  <c r="AE57" i="4"/>
  <c r="AD57" i="4"/>
  <c r="Z57" i="4"/>
  <c r="I57" i="4"/>
  <c r="AL57" i="4" s="1"/>
  <c r="BJ54" i="4"/>
  <c r="BF54" i="4"/>
  <c r="BD54" i="4"/>
  <c r="AP54" i="4"/>
  <c r="BI54" i="4" s="1"/>
  <c r="AC54" i="4" s="1"/>
  <c r="AO54" i="4"/>
  <c r="BH54" i="4" s="1"/>
  <c r="AB54" i="4" s="1"/>
  <c r="AK54" i="4"/>
  <c r="AT53" i="4" s="1"/>
  <c r="AJ54" i="4"/>
  <c r="AH54" i="4"/>
  <c r="AG54" i="4"/>
  <c r="AF54" i="4"/>
  <c r="AE54" i="4"/>
  <c r="AD54" i="4"/>
  <c r="Z54" i="4"/>
  <c r="I54" i="4"/>
  <c r="AL54" i="4" s="1"/>
  <c r="AU53" i="4" s="1"/>
  <c r="AS53" i="4"/>
  <c r="BJ51" i="4"/>
  <c r="BF51" i="4"/>
  <c r="BD51" i="4"/>
  <c r="AP51" i="4"/>
  <c r="BI51" i="4" s="1"/>
  <c r="AC51" i="4" s="1"/>
  <c r="AO51" i="4"/>
  <c r="BH51" i="4" s="1"/>
  <c r="AB51" i="4" s="1"/>
  <c r="AK51" i="4"/>
  <c r="AJ51" i="4"/>
  <c r="AH51" i="4"/>
  <c r="AG51" i="4"/>
  <c r="AF51" i="4"/>
  <c r="AE51" i="4"/>
  <c r="AD51" i="4"/>
  <c r="Z51" i="4"/>
  <c r="I51" i="4"/>
  <c r="AL51" i="4" s="1"/>
  <c r="BJ50" i="4"/>
  <c r="BF50" i="4"/>
  <c r="BD50" i="4"/>
  <c r="AP50" i="4"/>
  <c r="BI50" i="4" s="1"/>
  <c r="AC50" i="4" s="1"/>
  <c r="AO50" i="4"/>
  <c r="BH50" i="4" s="1"/>
  <c r="AB50" i="4" s="1"/>
  <c r="AK50" i="4"/>
  <c r="AJ50" i="4"/>
  <c r="AH50" i="4"/>
  <c r="AG50" i="4"/>
  <c r="AF50" i="4"/>
  <c r="AE50" i="4"/>
  <c r="AD50" i="4"/>
  <c r="Z50" i="4"/>
  <c r="I50" i="4"/>
  <c r="AL50" i="4" s="1"/>
  <c r="BJ48" i="4"/>
  <c r="BF48" i="4"/>
  <c r="BD48" i="4"/>
  <c r="AP48" i="4"/>
  <c r="BI48" i="4" s="1"/>
  <c r="AC48" i="4" s="1"/>
  <c r="AO48" i="4"/>
  <c r="BH48" i="4" s="1"/>
  <c r="AB48" i="4" s="1"/>
  <c r="AK48" i="4"/>
  <c r="AJ48" i="4"/>
  <c r="AH48" i="4"/>
  <c r="AG48" i="4"/>
  <c r="AF48" i="4"/>
  <c r="AE48" i="4"/>
  <c r="AD48" i="4"/>
  <c r="Z48" i="4"/>
  <c r="I48" i="4"/>
  <c r="BJ46" i="4"/>
  <c r="BF46" i="4"/>
  <c r="BD46" i="4"/>
  <c r="AP46" i="4"/>
  <c r="BI46" i="4" s="1"/>
  <c r="AC46" i="4" s="1"/>
  <c r="AO46" i="4"/>
  <c r="BH46" i="4" s="1"/>
  <c r="AB46" i="4" s="1"/>
  <c r="AK46" i="4"/>
  <c r="AJ46" i="4"/>
  <c r="AS45" i="4" s="1"/>
  <c r="AH46" i="4"/>
  <c r="AG46" i="4"/>
  <c r="AF46" i="4"/>
  <c r="AE46" i="4"/>
  <c r="AD46" i="4"/>
  <c r="Z46" i="4"/>
  <c r="I46" i="4"/>
  <c r="AL46" i="4" s="1"/>
  <c r="BJ42" i="4"/>
  <c r="BF42" i="4"/>
  <c r="BD42" i="4"/>
  <c r="AP42" i="4"/>
  <c r="BI42" i="4" s="1"/>
  <c r="AC42" i="4" s="1"/>
  <c r="AO42" i="4"/>
  <c r="BH42" i="4" s="1"/>
  <c r="AB42" i="4" s="1"/>
  <c r="AK42" i="4"/>
  <c r="AT41" i="4" s="1"/>
  <c r="AJ42" i="4"/>
  <c r="AS41" i="4" s="1"/>
  <c r="AH42" i="4"/>
  <c r="AG42" i="4"/>
  <c r="AF42" i="4"/>
  <c r="AE42" i="4"/>
  <c r="AD42" i="4"/>
  <c r="Z42" i="4"/>
  <c r="I42" i="4"/>
  <c r="AL42" i="4" s="1"/>
  <c r="AU41" i="4" s="1"/>
  <c r="BJ37" i="4"/>
  <c r="BF37" i="4"/>
  <c r="BD37" i="4"/>
  <c r="AP37" i="4"/>
  <c r="BI37" i="4" s="1"/>
  <c r="AC37" i="4" s="1"/>
  <c r="AO37" i="4"/>
  <c r="BH37" i="4" s="1"/>
  <c r="AB37" i="4" s="1"/>
  <c r="AK37" i="4"/>
  <c r="AT36" i="4" s="1"/>
  <c r="AJ37" i="4"/>
  <c r="AH37" i="4"/>
  <c r="AG37" i="4"/>
  <c r="AF37" i="4"/>
  <c r="AE37" i="4"/>
  <c r="AD37" i="4"/>
  <c r="Z37" i="4"/>
  <c r="I37" i="4"/>
  <c r="AL37" i="4" s="1"/>
  <c r="AU36" i="4" s="1"/>
  <c r="AS36" i="4"/>
  <c r="BJ34" i="4"/>
  <c r="BF34" i="4"/>
  <c r="BD34" i="4"/>
  <c r="AP34" i="4"/>
  <c r="BI34" i="4" s="1"/>
  <c r="AC34" i="4" s="1"/>
  <c r="AO34" i="4"/>
  <c r="BH34" i="4" s="1"/>
  <c r="AB34" i="4" s="1"/>
  <c r="AK34" i="4"/>
  <c r="AJ34" i="4"/>
  <c r="AH34" i="4"/>
  <c r="AG34" i="4"/>
  <c r="AF34" i="4"/>
  <c r="AE34" i="4"/>
  <c r="AD34" i="4"/>
  <c r="Z34" i="4"/>
  <c r="I34" i="4"/>
  <c r="BJ32" i="4"/>
  <c r="BF32" i="4"/>
  <c r="BD32" i="4"/>
  <c r="AP32" i="4"/>
  <c r="BI32" i="4" s="1"/>
  <c r="AC32" i="4" s="1"/>
  <c r="AO32" i="4"/>
  <c r="BH32" i="4" s="1"/>
  <c r="AB32" i="4" s="1"/>
  <c r="AK32" i="4"/>
  <c r="AT31" i="4" s="1"/>
  <c r="AJ32" i="4"/>
  <c r="AH32" i="4"/>
  <c r="AG32" i="4"/>
  <c r="AF32" i="4"/>
  <c r="AE32" i="4"/>
  <c r="AD32" i="4"/>
  <c r="Z32" i="4"/>
  <c r="I32" i="4"/>
  <c r="AL32" i="4" s="1"/>
  <c r="AS31" i="4"/>
  <c r="BJ28" i="4"/>
  <c r="BF28" i="4"/>
  <c r="BD28" i="4"/>
  <c r="AP28" i="4"/>
  <c r="BI28" i="4" s="1"/>
  <c r="AC28" i="4" s="1"/>
  <c r="AO28" i="4"/>
  <c r="BH28" i="4" s="1"/>
  <c r="AB28" i="4" s="1"/>
  <c r="AK28" i="4"/>
  <c r="AT27" i="4" s="1"/>
  <c r="AJ28" i="4"/>
  <c r="AH28" i="4"/>
  <c r="AG28" i="4"/>
  <c r="AF28" i="4"/>
  <c r="AE28" i="4"/>
  <c r="AD28" i="4"/>
  <c r="Z28" i="4"/>
  <c r="I28" i="4"/>
  <c r="AL28" i="4" s="1"/>
  <c r="AU27" i="4" s="1"/>
  <c r="AS27" i="4"/>
  <c r="BJ24" i="4"/>
  <c r="BF24" i="4"/>
  <c r="BD24" i="4"/>
  <c r="AP24" i="4"/>
  <c r="BI24" i="4" s="1"/>
  <c r="AC24" i="4" s="1"/>
  <c r="AO24" i="4"/>
  <c r="BH24" i="4" s="1"/>
  <c r="AB24" i="4" s="1"/>
  <c r="AK24" i="4"/>
  <c r="AJ24" i="4"/>
  <c r="AH24" i="4"/>
  <c r="AG24" i="4"/>
  <c r="AF24" i="4"/>
  <c r="AE24" i="4"/>
  <c r="AD24" i="4"/>
  <c r="Z24" i="4"/>
  <c r="I24" i="4"/>
  <c r="BJ18" i="4"/>
  <c r="BF18" i="4"/>
  <c r="BD18" i="4"/>
  <c r="AP18" i="4"/>
  <c r="BI18" i="4" s="1"/>
  <c r="AC18" i="4" s="1"/>
  <c r="AO18" i="4"/>
  <c r="BH18" i="4" s="1"/>
  <c r="AB18" i="4" s="1"/>
  <c r="AK18" i="4"/>
  <c r="AT17" i="4" s="1"/>
  <c r="AJ18" i="4"/>
  <c r="AH18" i="4"/>
  <c r="AG18" i="4"/>
  <c r="AF18" i="4"/>
  <c r="AE18" i="4"/>
  <c r="AD18" i="4"/>
  <c r="Z18" i="4"/>
  <c r="I18" i="4"/>
  <c r="AL18" i="4" s="1"/>
  <c r="BJ16" i="4"/>
  <c r="BF16" i="4"/>
  <c r="BD16" i="4"/>
  <c r="AW16" i="4"/>
  <c r="AP16" i="4"/>
  <c r="BI16" i="4" s="1"/>
  <c r="AC16" i="4" s="1"/>
  <c r="AO16" i="4"/>
  <c r="BH16" i="4" s="1"/>
  <c r="AB16" i="4" s="1"/>
  <c r="AK16" i="4"/>
  <c r="AJ16" i="4"/>
  <c r="AH16" i="4"/>
  <c r="AG16" i="4"/>
  <c r="AF16" i="4"/>
  <c r="AE16" i="4"/>
  <c r="AD16" i="4"/>
  <c r="Z16" i="4"/>
  <c r="I16" i="4"/>
  <c r="AL16" i="4" s="1"/>
  <c r="BJ15" i="4"/>
  <c r="BF15" i="4"/>
  <c r="BD15" i="4"/>
  <c r="AP15" i="4"/>
  <c r="BI15" i="4" s="1"/>
  <c r="AC15" i="4" s="1"/>
  <c r="AO15" i="4"/>
  <c r="BH15" i="4" s="1"/>
  <c r="AB15" i="4" s="1"/>
  <c r="AK15" i="4"/>
  <c r="AJ15" i="4"/>
  <c r="AH15" i="4"/>
  <c r="AG15" i="4"/>
  <c r="AF15" i="4"/>
  <c r="AE15" i="4"/>
  <c r="AD15" i="4"/>
  <c r="Z15" i="4"/>
  <c r="I15" i="4"/>
  <c r="AL15" i="4" s="1"/>
  <c r="BJ14" i="4"/>
  <c r="BF14" i="4"/>
  <c r="BD14" i="4"/>
  <c r="AP14" i="4"/>
  <c r="BI14" i="4" s="1"/>
  <c r="AC14" i="4" s="1"/>
  <c r="AO14" i="4"/>
  <c r="BH14" i="4" s="1"/>
  <c r="AB14" i="4" s="1"/>
  <c r="AK14" i="4"/>
  <c r="AJ14" i="4"/>
  <c r="AH14" i="4"/>
  <c r="AG14" i="4"/>
  <c r="AF14" i="4"/>
  <c r="AE14" i="4"/>
  <c r="C17" i="2" s="1"/>
  <c r="AD14" i="4"/>
  <c r="Z14" i="4"/>
  <c r="I14" i="4"/>
  <c r="BJ13" i="4"/>
  <c r="BF13" i="4"/>
  <c r="BD13" i="4"/>
  <c r="AP13" i="4"/>
  <c r="BI13" i="4" s="1"/>
  <c r="AC13" i="4" s="1"/>
  <c r="AO13" i="4"/>
  <c r="BH13" i="4" s="1"/>
  <c r="AB13" i="4" s="1"/>
  <c r="AK13" i="4"/>
  <c r="AJ13" i="4"/>
  <c r="C27" i="2" s="1"/>
  <c r="AH13" i="4"/>
  <c r="C20" i="2" s="1"/>
  <c r="AG13" i="4"/>
  <c r="AF13" i="4"/>
  <c r="AE13" i="4"/>
  <c r="AD13" i="4"/>
  <c r="Z13" i="4"/>
  <c r="I13" i="4"/>
  <c r="AL13" i="4" s="1"/>
  <c r="AU1" i="4"/>
  <c r="AT1" i="4"/>
  <c r="AS1" i="4"/>
  <c r="I35" i="3"/>
  <c r="I36" i="3" s="1"/>
  <c r="I24" i="2" s="1"/>
  <c r="I26" i="3"/>
  <c r="I19" i="2" s="1"/>
  <c r="I25" i="3"/>
  <c r="I18" i="2" s="1"/>
  <c r="I24" i="3"/>
  <c r="I23" i="3"/>
  <c r="I22" i="3"/>
  <c r="I15" i="2" s="1"/>
  <c r="I21" i="3"/>
  <c r="I14" i="2" s="1"/>
  <c r="I17" i="3"/>
  <c r="I16" i="3"/>
  <c r="F15" i="2" s="1"/>
  <c r="I15" i="3"/>
  <c r="I10" i="3"/>
  <c r="F10" i="3"/>
  <c r="C10" i="3"/>
  <c r="F8" i="3"/>
  <c r="C8" i="3"/>
  <c r="F6" i="3"/>
  <c r="C6" i="3"/>
  <c r="F4" i="3"/>
  <c r="C4" i="3"/>
  <c r="F2" i="3"/>
  <c r="C2" i="3"/>
  <c r="I17" i="2"/>
  <c r="I16" i="2"/>
  <c r="F14" i="2"/>
  <c r="I10" i="2"/>
  <c r="C10" i="2"/>
  <c r="F8" i="2"/>
  <c r="F6" i="2"/>
  <c r="C6" i="2"/>
  <c r="F4" i="2"/>
  <c r="C4" i="2"/>
  <c r="F2" i="2"/>
  <c r="C2" i="2"/>
  <c r="G8" i="1"/>
  <c r="G6" i="1"/>
  <c r="C6" i="1"/>
  <c r="G4" i="1"/>
  <c r="C4" i="1"/>
  <c r="G2" i="1"/>
  <c r="C2" i="1"/>
  <c r="I18" i="3" l="1"/>
  <c r="AT45" i="4"/>
  <c r="AS17" i="4"/>
  <c r="C18" i="2"/>
  <c r="I59" i="4"/>
  <c r="G20" i="1" s="1"/>
  <c r="I20" i="1" s="1"/>
  <c r="I27" i="3"/>
  <c r="C19" i="2"/>
  <c r="C15" i="2"/>
  <c r="I36" i="4"/>
  <c r="G15" i="1" s="1"/>
  <c r="I15" i="1" s="1"/>
  <c r="AW13" i="4"/>
  <c r="I41" i="4"/>
  <c r="G16" i="1" s="1"/>
  <c r="I16" i="1" s="1"/>
  <c r="I56" i="4"/>
  <c r="G19" i="1" s="1"/>
  <c r="I19" i="1" s="1"/>
  <c r="AT62" i="4"/>
  <c r="AW18" i="4"/>
  <c r="BC18" i="4" s="1"/>
  <c r="I12" i="4"/>
  <c r="AT12" i="4"/>
  <c r="AX65" i="4"/>
  <c r="C21" i="2"/>
  <c r="AW63" i="4"/>
  <c r="C16" i="2"/>
  <c r="AW57" i="4"/>
  <c r="AX48" i="4"/>
  <c r="AU56" i="4"/>
  <c r="I31" i="4"/>
  <c r="G14" i="1" s="1"/>
  <c r="I14" i="1" s="1"/>
  <c r="AL34" i="4"/>
  <c r="AU31" i="4" s="1"/>
  <c r="I22" i="2"/>
  <c r="AX50" i="4"/>
  <c r="AS56" i="4"/>
  <c r="AW32" i="4"/>
  <c r="AW34" i="4"/>
  <c r="I53" i="4"/>
  <c r="G18" i="1" s="1"/>
  <c r="I18" i="1" s="1"/>
  <c r="AW54" i="4"/>
  <c r="AW70" i="4"/>
  <c r="AX24" i="4"/>
  <c r="C28" i="2"/>
  <c r="F28" i="2" s="1"/>
  <c r="AW48" i="4"/>
  <c r="AV48" i="4" s="1"/>
  <c r="I27" i="4"/>
  <c r="G13" i="1" s="1"/>
  <c r="I13" i="1" s="1"/>
  <c r="AX34" i="4"/>
  <c r="AX18" i="4"/>
  <c r="F16" i="2"/>
  <c r="F22" i="2" s="1"/>
  <c r="AS12" i="4"/>
  <c r="I17" i="4"/>
  <c r="G12" i="1" s="1"/>
  <c r="I12" i="1" s="1"/>
  <c r="I45" i="4"/>
  <c r="G17" i="1" s="1"/>
  <c r="I17" i="1" s="1"/>
  <c r="AX58" i="4"/>
  <c r="AX14" i="4"/>
  <c r="AW46" i="4"/>
  <c r="AX13" i="4"/>
  <c r="AV13" i="4" s="1"/>
  <c r="AX37" i="4"/>
  <c r="AL48" i="4"/>
  <c r="AU45" i="4" s="1"/>
  <c r="AX57" i="4"/>
  <c r="AV57" i="4" s="1"/>
  <c r="F29" i="3"/>
  <c r="AU62" i="4"/>
  <c r="C14" i="2"/>
  <c r="G11" i="1"/>
  <c r="I11" i="1" s="1"/>
  <c r="AW15" i="4"/>
  <c r="AX16" i="4"/>
  <c r="AW28" i="4"/>
  <c r="AX32" i="4"/>
  <c r="AW42" i="4"/>
  <c r="AX46" i="4"/>
  <c r="AW51" i="4"/>
  <c r="AX54" i="4"/>
  <c r="AW60" i="4"/>
  <c r="I62" i="4"/>
  <c r="G21" i="1" s="1"/>
  <c r="I21" i="1" s="1"/>
  <c r="AX63" i="4"/>
  <c r="AV63" i="4" s="1"/>
  <c r="AW68" i="4"/>
  <c r="AX70" i="4"/>
  <c r="AV70" i="4" s="1"/>
  <c r="AL14" i="4"/>
  <c r="AU12" i="4" s="1"/>
  <c r="AW14" i="4"/>
  <c r="AX15" i="4"/>
  <c r="AL24" i="4"/>
  <c r="AU17" i="4" s="1"/>
  <c r="AW24" i="4"/>
  <c r="AX28" i="4"/>
  <c r="AW37" i="4"/>
  <c r="AX42" i="4"/>
  <c r="AW50" i="4"/>
  <c r="AX51" i="4"/>
  <c r="AW58" i="4"/>
  <c r="AX60" i="4"/>
  <c r="AW66" i="4"/>
  <c r="AX68" i="4"/>
  <c r="AW65" i="4"/>
  <c r="AX66" i="4"/>
  <c r="BC34" i="4" l="1"/>
  <c r="C22" i="2"/>
  <c r="BC48" i="4"/>
  <c r="AV18" i="4"/>
  <c r="BC13" i="4"/>
  <c r="G23" i="1"/>
  <c r="AV34" i="4"/>
  <c r="BC57" i="4"/>
  <c r="AV42" i="4"/>
  <c r="BC42" i="4"/>
  <c r="BC66" i="4"/>
  <c r="AV66" i="4"/>
  <c r="BC50" i="4"/>
  <c r="AV50" i="4"/>
  <c r="BC24" i="4"/>
  <c r="AV24" i="4"/>
  <c r="AV51" i="4"/>
  <c r="BC51" i="4"/>
  <c r="AV16" i="4"/>
  <c r="BC16" i="4"/>
  <c r="I71" i="4"/>
  <c r="BC14" i="4"/>
  <c r="AV14" i="4"/>
  <c r="AV54" i="4"/>
  <c r="BC54" i="4"/>
  <c r="AV65" i="4"/>
  <c r="BC65" i="4"/>
  <c r="AV60" i="4"/>
  <c r="BC60" i="4"/>
  <c r="AV32" i="4"/>
  <c r="BC32" i="4"/>
  <c r="AV15" i="4"/>
  <c r="BC15" i="4"/>
  <c r="BC70" i="4"/>
  <c r="BC58" i="4"/>
  <c r="AV58" i="4"/>
  <c r="BC37" i="4"/>
  <c r="AV37" i="4"/>
  <c r="AV68" i="4"/>
  <c r="BC68" i="4"/>
  <c r="AV46" i="4"/>
  <c r="BC46" i="4"/>
  <c r="AV28" i="4"/>
  <c r="BC28" i="4"/>
  <c r="BC63" i="4"/>
  <c r="C29" i="2"/>
  <c r="F29" i="2" l="1"/>
  <c r="I28" i="2"/>
  <c r="I29" i="2" l="1"/>
</calcChain>
</file>

<file path=xl/sharedStrings.xml><?xml version="1.0" encoding="utf-8"?>
<sst xmlns="http://schemas.openxmlformats.org/spreadsheetml/2006/main" count="707" uniqueCount="251">
  <si>
    <t>Slepý stavební rozpočet - rekapitulace</t>
  </si>
  <si>
    <t>Název stavby:</t>
  </si>
  <si>
    <t>Doba výstavby:</t>
  </si>
  <si>
    <t xml:space="preserve"> </t>
  </si>
  <si>
    <t>Objednatel:</t>
  </si>
  <si>
    <t>Druh stavby:</t>
  </si>
  <si>
    <t>Začátek výstavby:</t>
  </si>
  <si>
    <t>08.10.2024</t>
  </si>
  <si>
    <t>Projektant:</t>
  </si>
  <si>
    <t>Lokalita:</t>
  </si>
  <si>
    <t>Konec výstavby:</t>
  </si>
  <si>
    <t>Zhotovitel:</t>
  </si>
  <si>
    <t>Zpracoval:</t>
  </si>
  <si>
    <t>Zpracováno dne:</t>
  </si>
  <si>
    <t>Objekt</t>
  </si>
  <si>
    <t>Kód</t>
  </si>
  <si>
    <t>Zkrácený popis</t>
  </si>
  <si>
    <t>Náklady (Kč) - celkem</t>
  </si>
  <si>
    <t/>
  </si>
  <si>
    <t>000</t>
  </si>
  <si>
    <t>Vedlejší a ostatní náklady</t>
  </si>
  <si>
    <t>T</t>
  </si>
  <si>
    <t>11</t>
  </si>
  <si>
    <t>Přípravné a přidružené práce</t>
  </si>
  <si>
    <t>13</t>
  </si>
  <si>
    <t>Hloubené vykopávky</t>
  </si>
  <si>
    <t>16</t>
  </si>
  <si>
    <t>Přemístění výkopku</t>
  </si>
  <si>
    <t>19</t>
  </si>
  <si>
    <t>Hloubení pro podzemní stěny, ražení a hloubení důlní</t>
  </si>
  <si>
    <t>45</t>
  </si>
  <si>
    <t>Podkladní a vedlejší konstrukce (kromě vozovek a železničního svršku)</t>
  </si>
  <si>
    <t>57</t>
  </si>
  <si>
    <t>Kryty pozemních komunikací, letišť a ploch z kameniva nebo živičné</t>
  </si>
  <si>
    <t>59</t>
  </si>
  <si>
    <t>Kryty pozemních komunikací, letišť a ploch dlážděných (předlažby)</t>
  </si>
  <si>
    <t>89</t>
  </si>
  <si>
    <t>Ostatní konstrukce a práce na trubním vedení</t>
  </si>
  <si>
    <t>91</t>
  </si>
  <si>
    <t>Doplňující konstrukce a práce na pozemních komunikacích a zpevněných plochách</t>
  </si>
  <si>
    <t>93</t>
  </si>
  <si>
    <t>Různé dokončovací konstrukce a práce inženýrských staveb</t>
  </si>
  <si>
    <t>S</t>
  </si>
  <si>
    <t>Přesuny sutí</t>
  </si>
  <si>
    <t>Celkem:</t>
  </si>
  <si>
    <t>Krycí list slepého rozpočtu</t>
  </si>
  <si>
    <t>IČO/DIČ:</t>
  </si>
  <si>
    <t>Položek:</t>
  </si>
  <si>
    <t>JKSO: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</si>
  <si>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</si>
  <si>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</si>
  <si>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</si>
  <si>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</si>
  <si>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</si>
  <si>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</si>
  <si>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</si>
  <si>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</si>
  <si>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</si>
  <si>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</si>
  <si>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</si>
  <si>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</si>
  <si>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</si>
  <si>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</si>
  <si>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</si>
  <si>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</si>
  <si>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</si>
  <si>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</si>
  <si>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</si>
  <si>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</si>
  <si>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</si>
  <si>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</si>
  <si>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</si>
  <si>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</si>
  <si>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</si>
  <si>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</si>
  <si>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</si>
  <si>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</si>
  <si>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</si>
  <si>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</si>
  <si>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</si>
  <si>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</si>
  <si>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</si>
  <si>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</si>
  <si>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</si>
  <si>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</si>
  <si>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</si>
  <si>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</si>
  <si>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</si>
  <si>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</si>
  <si>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</si>
  <si>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</si>
  <si>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</si>
  <si>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</si>
  <si>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</si>
  <si>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</si>
  <si>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</si>
  <si>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</si>
  <si>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</si>
  <si>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</si>
  <si>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</si>
  <si>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</si>
  <si>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</si>
  <si>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</si>
  <si>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</si>
  <si>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</si>
  <si>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24152 Bruntál, oprava MK Lomená</t>
  </si>
  <si>
    <t> </t>
  </si>
  <si>
    <t>Č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</si>
  <si>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</si>
  <si>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</si>
  <si>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</si>
  <si>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</si>
  <si>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</si>
  <si>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</si>
  <si>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</si>
  <si>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</si>
  <si>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</si>
  <si>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</si>
  <si>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</si>
  <si>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</si>
  <si>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</si>
  <si>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</si>
  <si>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</si>
  <si>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</si>
  <si>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</si>
  <si>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</si>
  <si>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</si>
  <si>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</si>
  <si>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</si>
  <si>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</si>
  <si>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</si>
  <si>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123118VD</t>
  </si>
  <si>
    <t>Geodetické práce</t>
  </si>
  <si>
    <t>kpl</t>
  </si>
  <si>
    <t>000_</t>
  </si>
  <si>
    <t>0_</t>
  </si>
  <si>
    <t>_</t>
  </si>
  <si>
    <t>2</t>
  </si>
  <si>
    <t>123119VD</t>
  </si>
  <si>
    <t>Fotodokumentace</t>
  </si>
  <si>
    <t>3</t>
  </si>
  <si>
    <t>123140VD</t>
  </si>
  <si>
    <t>Čistění komunikací po dobu výstavby</t>
  </si>
  <si>
    <t>4</t>
  </si>
  <si>
    <t>123171VD</t>
  </si>
  <si>
    <t>Přechodné dopravní značení</t>
  </si>
  <si>
    <t>5</t>
  </si>
  <si>
    <t>113151315R00</t>
  </si>
  <si>
    <t>Fréz.živič.krytu nad 500 m2, s překážkami, tl.6 cm</t>
  </si>
  <si>
    <t>m2</t>
  </si>
  <si>
    <t>11_</t>
  </si>
  <si>
    <t>1_</t>
  </si>
  <si>
    <t>9,0*5,9</t>
  </si>
  <si>
    <t>76,0*5,5</t>
  </si>
  <si>
    <t>7,0*3,0/2</t>
  </si>
  <si>
    <t>65,0*3,7</t>
  </si>
  <si>
    <t>(7,0+3,5)/2*16,0</t>
  </si>
  <si>
    <t>6</t>
  </si>
  <si>
    <t>113108310R00</t>
  </si>
  <si>
    <t>Odstranění asfaltové vrstvy pl. do 50 m2, tl.10 cm</t>
  </si>
  <si>
    <t>pro žlabovku</t>
  </si>
  <si>
    <t>30,0*0,4</t>
  </si>
  <si>
    <t>7</t>
  </si>
  <si>
    <t>139601103R00</t>
  </si>
  <si>
    <t>Ruční výkop jam, rýh a šachet v hornině tř. 4</t>
  </si>
  <si>
    <t>m3</t>
  </si>
  <si>
    <t>13_</t>
  </si>
  <si>
    <t>rýha pro nové žlabovky</t>
  </si>
  <si>
    <t>80,0*0,4*0,3</t>
  </si>
  <si>
    <t>8</t>
  </si>
  <si>
    <t>162701105R00</t>
  </si>
  <si>
    <t>Vodorovné přemístění výkopku z hor.1-4 do 10000 m</t>
  </si>
  <si>
    <t>16_</t>
  </si>
  <si>
    <t>9,6+26,0*0,1</t>
  </si>
  <si>
    <t>9</t>
  </si>
  <si>
    <t>162701109R00</t>
  </si>
  <si>
    <t>Příplatek k vod. přemístění hor.1-4 za další 1 km</t>
  </si>
  <si>
    <t>12,20*6</t>
  </si>
  <si>
    <t>10</t>
  </si>
  <si>
    <t>199000002R00</t>
  </si>
  <si>
    <t>Poplatek za skládku horniny 1- 4, č. dle katal. odpadů 17 05 04</t>
  </si>
  <si>
    <t>19_</t>
  </si>
  <si>
    <t>9,60</t>
  </si>
  <si>
    <t>krajnice</t>
  </si>
  <si>
    <t>65,0*0,2*2*0,1</t>
  </si>
  <si>
    <t>451538111R00</t>
  </si>
  <si>
    <t>Dno rýhy zpevněné štěrkem drceným tl. do 15 cm</t>
  </si>
  <si>
    <t>m</t>
  </si>
  <si>
    <t>45_</t>
  </si>
  <si>
    <t>4_</t>
  </si>
  <si>
    <t>pod žlabovky</t>
  </si>
  <si>
    <t>80,0*0,4</t>
  </si>
  <si>
    <t>12</t>
  </si>
  <si>
    <t>573231125R00</t>
  </si>
  <si>
    <t>Postřik spojovací z KAE, množství zbytkového asfaltu 0,5 kg/m2</t>
  </si>
  <si>
    <t>57_</t>
  </si>
  <si>
    <t>5_</t>
  </si>
  <si>
    <t>806,10*2</t>
  </si>
  <si>
    <t>572713112R00</t>
  </si>
  <si>
    <t>Vyrovnání povrchu krytů kamen. obaleným asfaltem</t>
  </si>
  <si>
    <t>t</t>
  </si>
  <si>
    <t>806,10*0,02*2,5</t>
  </si>
  <si>
    <t>14</t>
  </si>
  <si>
    <t>577131111R00</t>
  </si>
  <si>
    <t>Beton asfalt. ACO 11+ obrusný, š. do 3 m, tl. 4 cm</t>
  </si>
  <si>
    <t>15</t>
  </si>
  <si>
    <t>572751111R00</t>
  </si>
  <si>
    <t>Vyspravení výtluků krytů asf.betonem,1 km do 10 t</t>
  </si>
  <si>
    <t>2,0</t>
  </si>
  <si>
    <t>599141111R00</t>
  </si>
  <si>
    <t>Vyplnění spár živičnou zálivkou</t>
  </si>
  <si>
    <t>59_</t>
  </si>
  <si>
    <t>6,0+7,0</t>
  </si>
  <si>
    <t>17</t>
  </si>
  <si>
    <t>899431111R00</t>
  </si>
  <si>
    <t>Výšková úprava do 20 cm, zvýšení krytu šoupěte</t>
  </si>
  <si>
    <t>kus</t>
  </si>
  <si>
    <t>89_</t>
  </si>
  <si>
    <t>8_</t>
  </si>
  <si>
    <t>18</t>
  </si>
  <si>
    <t>899331111R00</t>
  </si>
  <si>
    <t>Výšková úprava vstupu do 20 cm, zvýšení poklopu</t>
  </si>
  <si>
    <t>919735112R00</t>
  </si>
  <si>
    <t>Řezání stávajícího živičného krytu tl. 5 - 10 cm</t>
  </si>
  <si>
    <t>91_</t>
  </si>
  <si>
    <t>9_</t>
  </si>
  <si>
    <t>6,0+30,0*2+7,0</t>
  </si>
  <si>
    <t>20</t>
  </si>
  <si>
    <t>938909611R00</t>
  </si>
  <si>
    <t>Odstranění nánosu na krajnicích tl. do 10 cm</t>
  </si>
  <si>
    <t>93_</t>
  </si>
  <si>
    <t>65,0*0,2*2</t>
  </si>
  <si>
    <t>21</t>
  </si>
  <si>
    <t>935112111R00</t>
  </si>
  <si>
    <t>Osazení přík.žlabu do C8/10 tl.10cm z tvárnic 50cm</t>
  </si>
  <si>
    <t>22</t>
  </si>
  <si>
    <t>59227440</t>
  </si>
  <si>
    <t>Žlab betonový do dlažby  TBO 3-30/30</t>
  </si>
  <si>
    <t>80,0*3,3*1,02</t>
  </si>
  <si>
    <t>23</t>
  </si>
  <si>
    <t>998225111R00</t>
  </si>
  <si>
    <t>Přesun hmot, pozemní komunikace, kryt živičný</t>
  </si>
  <si>
    <t>24</t>
  </si>
  <si>
    <t>979999995R00</t>
  </si>
  <si>
    <t>Výkup asfaltového recyklátu</t>
  </si>
  <si>
    <t>S_</t>
  </si>
  <si>
    <t>Žlab betonový do dlažby  30/30</t>
  </si>
  <si>
    <t>Město Bruntál</t>
  </si>
  <si>
    <t>IČ 00295892</t>
  </si>
  <si>
    <t>00295892</t>
  </si>
  <si>
    <t>M. Petrů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</si>
</sst>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4" fontId="8" fillId="0" borderId="25" xfId="0" applyNumberFormat="1" applyFont="1" applyBorder="1" applyAlignment="1">
      <alignment horizontal="right" vertical="center"/>
    </xf>
    <xf numFmtId="0" fontId="8" fillId="0" borderId="25" xfId="0" applyFont="1" applyBorder="1" applyAlignment="1">
      <alignment horizontal="right" vertical="center"/>
    </xf>
    <xf numFmtId="0" fontId="7" fillId="0" borderId="28" xfId="0" applyFont="1" applyBorder="1" applyAlignment="1">
      <alignment horizontal="left" vertical="center"/>
    </xf>
    <xf numFmtId="4" fontId="8" fillId="0" borderId="32" xfId="0" applyNumberFormat="1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4" fontId="8" fillId="0" borderId="23" xfId="0" applyNumberFormat="1" applyFont="1" applyBorder="1" applyAlignment="1">
      <alignment horizontal="right" vertical="center"/>
    </xf>
    <xf numFmtId="4" fontId="8" fillId="0" borderId="35" xfId="0" applyNumberFormat="1" applyFont="1" applyBorder="1" applyAlignment="1">
      <alignment horizontal="right" vertical="center"/>
    </xf>
    <xf numFmtId="4" fontId="7" fillId="2" borderId="22" xfId="0" applyNumberFormat="1" applyFont="1" applyFill="1" applyBorder="1" applyAlignment="1">
      <alignment horizontal="right" vertical="center"/>
    </xf>
    <xf numFmtId="4" fontId="7" fillId="2" borderId="27" xfId="0" applyNumberFormat="1" applyFont="1" applyFill="1" applyBorder="1" applyAlignment="1">
      <alignment horizontal="right" vertical="center"/>
    </xf>
    <xf numFmtId="0" fontId="9" fillId="0" borderId="16" xfId="0" applyFont="1" applyBorder="1" applyAlignment="1">
      <alignment horizontal="left" vertical="center"/>
    </xf>
    <xf numFmtId="0" fontId="3" fillId="0" borderId="52" xfId="0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horizontal="left" vertical="center"/>
    </xf>
    <xf numFmtId="4" fontId="2" fillId="0" borderId="56" xfId="0" applyNumberFormat="1" applyFont="1" applyBorder="1" applyAlignment="1">
      <alignment horizontal="right" vertical="center"/>
    </xf>
    <xf numFmtId="0" fontId="2" fillId="0" borderId="56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60" xfId="0" applyFont="1" applyBorder="1" applyAlignment="1">
      <alignment horizontal="right" vertical="center"/>
    </xf>
    <xf numFmtId="4" fontId="3" fillId="0" borderId="60" xfId="0" applyNumberFormat="1" applyFont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62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0" fontId="3" fillId="0" borderId="63" xfId="0" applyFont="1" applyBorder="1" applyAlignment="1">
      <alignment horizontal="center" vertical="center"/>
    </xf>
    <xf numFmtId="0" fontId="0" fillId="0" borderId="68" xfId="0" applyBorder="1"/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69" xfId="0" applyFont="1" applyBorder="1" applyAlignment="1">
      <alignment horizontal="left" vertical="center"/>
    </xf>
    <xf numFmtId="0" fontId="2" fillId="0" borderId="70" xfId="0" applyFont="1" applyBorder="1" applyAlignment="1">
      <alignment horizontal="left" vertical="center"/>
    </xf>
    <xf numFmtId="0" fontId="0" fillId="0" borderId="6" xfId="0" applyBorder="1"/>
    <xf numFmtId="0" fontId="2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0" fillId="0" borderId="5" xfId="0" applyBorder="1"/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0" fontId="0" fillId="0" borderId="18" xfId="0" applyBorder="1"/>
    <xf numFmtId="0" fontId="9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17" xfId="0" applyFont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0" fillId="0" borderId="0" xfId="0" applyProtection="1">
      <protection locked="0"/>
    </xf>
    <xf numFmtId="4" fontId="3" fillId="2" borderId="0" xfId="0" applyNumberFormat="1" applyFont="1" applyFill="1" applyAlignment="1" applyProtection="1">
      <alignment horizontal="right" vertical="center"/>
      <protection locked="0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67" xfId="0" applyFont="1" applyBorder="1" applyAlignment="1" applyProtection="1">
      <alignment horizontal="center" vertical="center"/>
      <protection locked="0"/>
    </xf>
    <xf numFmtId="0" fontId="3" fillId="0" borderId="70" xfId="0" applyFont="1" applyBorder="1" applyAlignment="1" applyProtection="1">
      <alignment horizontal="center" vertical="center"/>
      <protection locked="0"/>
    </xf>
    <xf numFmtId="0" fontId="3" fillId="0" borderId="73" xfId="0" applyFont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left" vertical="center"/>
      <protection locked="0"/>
    </xf>
    <xf numFmtId="4" fontId="3" fillId="2" borderId="16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4" fontId="2" fillId="0" borderId="9" xfId="0" applyNumberFormat="1" applyFont="1" applyBorder="1" applyAlignment="1" applyProtection="1">
      <alignment horizontal="right" vertical="center"/>
      <protection locked="0"/>
    </xf>
    <xf numFmtId="4" fontId="3" fillId="0" borderId="74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0" fillId="0" borderId="9" xfId="0" applyBorder="1" applyProtection="1">
      <protection locked="0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6" xfId="0" applyFont="1" applyFill="1" applyBorder="1" applyAlignment="1">
      <alignment horizontal="left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7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4" fontId="7" fillId="0" borderId="61" xfId="0" applyNumberFormat="1" applyFont="1" applyBorder="1" applyAlignment="1">
      <alignment horizontal="right" vertical="center"/>
    </xf>
    <xf numFmtId="0" fontId="7" fillId="0" borderId="58" xfId="0" applyFont="1" applyBorder="1" applyAlignment="1">
      <alignment horizontal="right" vertical="center"/>
    </xf>
    <xf numFmtId="0" fontId="7" fillId="0" borderId="59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3" fillId="0" borderId="71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" fillId="0" borderId="37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workbookViewId="0">
      <pane ySplit="11" topLeftCell="A12" activePane="bottomLeft" state="frozen"/>
      <selection pane="bottomLeft" activeCell="C10" sqref="C10"/>
    </sheetView>
  </sheetViews>
  <sheetFormatPr baseColWidth="10" defaultColWidth="12.1640625" defaultRowHeight="15" customHeight="1" x14ac:dyDescent="0.2"/>
  <cols>
    <col min="1" max="2" width="8.5" customWidth="1"/>
    <col min="3" max="3" width="71.5" customWidth="1"/>
    <col min="4" max="4" width="13.1640625" customWidth="1"/>
    <col min="5" max="6" width="12.1640625" customWidth="1"/>
    <col min="7" max="7" width="27.83203125" customWidth="1"/>
    <col min="8" max="9" width="0" hidden="1" customWidth="1"/>
  </cols>
  <sheetData>
    <row r="1" spans="1:9" ht="54.75" customHeight="1" x14ac:dyDescent="0.2">
      <c r="A1" s="91" t="s">
        <v>0</v>
      </c>
      <c r="B1" s="91"/>
      <c r="C1" s="91"/>
      <c r="D1" s="91"/>
      <c r="E1" s="91"/>
      <c r="F1" s="91"/>
      <c r="G1" s="91"/>
    </row>
    <row r="2" spans="1:9" x14ac:dyDescent="0.2">
      <c r="A2" s="92" t="s">
        <v>1</v>
      </c>
      <c r="B2" s="89"/>
      <c r="C2" s="97" t="str">
        <f>'Stavební rozpočet'!D2</f>
        <v>24152 Bruntál, oprava MK Lomená</v>
      </c>
      <c r="D2" s="89" t="s">
        <v>2</v>
      </c>
      <c r="E2" s="89" t="s">
        <v>3</v>
      </c>
      <c r="F2" s="96" t="s">
        <v>4</v>
      </c>
      <c r="G2" s="83" t="str">
        <f>'Stavební rozpočet'!J2</f>
        <v>Město Bruntál</v>
      </c>
    </row>
    <row r="3" spans="1:9" ht="15" customHeight="1" x14ac:dyDescent="0.2">
      <c r="A3" s="93"/>
      <c r="B3" s="82"/>
      <c r="C3" s="98"/>
      <c r="D3" s="82"/>
      <c r="E3" s="82"/>
      <c r="F3" s="82"/>
      <c r="G3" s="84"/>
    </row>
    <row r="4" spans="1:9" x14ac:dyDescent="0.2">
      <c r="A4" s="94" t="s">
        <v>5</v>
      </c>
      <c r="B4" s="82"/>
      <c r="C4" s="87" t="str">
        <f>'Stavební rozpočet'!D4</f>
        <v xml:space="preserve"> </v>
      </c>
      <c r="D4" s="82" t="s">
        <v>6</v>
      </c>
      <c r="E4" s="82"/>
      <c r="F4" s="87" t="s">
        <v>8</v>
      </c>
      <c r="G4" s="85" t="str">
        <f>'Stavební rozpočet'!J4</f>
        <v> </v>
      </c>
    </row>
    <row r="5" spans="1:9" ht="15" customHeight="1" x14ac:dyDescent="0.2">
      <c r="A5" s="93"/>
      <c r="B5" s="82"/>
      <c r="C5" s="82"/>
      <c r="D5" s="82"/>
      <c r="E5" s="82"/>
      <c r="F5" s="82"/>
      <c r="G5" s="84"/>
    </row>
    <row r="6" spans="1:9" x14ac:dyDescent="0.2">
      <c r="A6" s="94" t="s">
        <v>9</v>
      </c>
      <c r="B6" s="82"/>
      <c r="C6" s="87" t="str">
        <f>'Stavební rozpočet'!D6</f>
        <v xml:space="preserve"> </v>
      </c>
      <c r="D6" s="82" t="s">
        <v>10</v>
      </c>
      <c r="E6" s="82" t="s">
        <v>3</v>
      </c>
      <c r="F6" s="87" t="s">
        <v>11</v>
      </c>
      <c r="G6" s="85" t="str">
        <f>'Stavební rozpočet'!J6</f>
        <v> </v>
      </c>
    </row>
    <row r="7" spans="1:9" ht="15" customHeight="1" x14ac:dyDescent="0.2">
      <c r="A7" s="93"/>
      <c r="B7" s="82"/>
      <c r="C7" s="82"/>
      <c r="D7" s="82"/>
      <c r="E7" s="82"/>
      <c r="F7" s="82"/>
      <c r="G7" s="84"/>
    </row>
    <row r="8" spans="1:9" x14ac:dyDescent="0.2">
      <c r="A8" s="94" t="s">
        <v>12</v>
      </c>
      <c r="B8" s="82"/>
      <c r="C8" s="87" t="s">
        <v>250</v>
      </c>
      <c r="D8" s="82" t="s">
        <v>13</v>
      </c>
      <c r="E8" s="82" t="s">
        <v>7</v>
      </c>
      <c r="F8" s="82" t="s">
        <v>13</v>
      </c>
      <c r="G8" s="85" t="str">
        <f>'Stavební rozpočet'!H8</f>
        <v>08.10.2024</v>
      </c>
    </row>
    <row r="9" spans="1:9" x14ac:dyDescent="0.2">
      <c r="A9" s="95"/>
      <c r="B9" s="88"/>
      <c r="C9" s="88"/>
      <c r="D9" s="90"/>
      <c r="E9" s="90"/>
      <c r="F9" s="90"/>
      <c r="G9" s="86"/>
    </row>
    <row r="10" spans="1:9" x14ac:dyDescent="0.2">
      <c r="A10" s="4" t="s">
        <v>14</v>
      </c>
      <c r="B10" s="5" t="s">
        <v>15</v>
      </c>
      <c r="C10" s="6" t="s">
        <v>16</v>
      </c>
      <c r="G10" s="7" t="s">
        <v>17</v>
      </c>
    </row>
    <row r="11" spans="1:9" x14ac:dyDescent="0.2">
      <c r="A11" s="8" t="s">
        <v>18</v>
      </c>
      <c r="B11" s="9" t="s">
        <v>19</v>
      </c>
      <c r="C11" s="82" t="s">
        <v>20</v>
      </c>
      <c r="D11" s="82"/>
      <c r="E11" s="82"/>
      <c r="F11" s="82"/>
      <c r="G11" s="10">
        <f>ROUND('Stavební rozpočet'!I12,2)</f>
        <v>0</v>
      </c>
      <c r="H11" s="11" t="s">
        <v>21</v>
      </c>
      <c r="I11" s="12">
        <f t="shared" ref="I11:I22" si="0">IF(H11="F",0,G11)</f>
        <v>0</v>
      </c>
    </row>
    <row r="12" spans="1:9" x14ac:dyDescent="0.2">
      <c r="A12" s="1" t="s">
        <v>18</v>
      </c>
      <c r="B12" s="2" t="s">
        <v>22</v>
      </c>
      <c r="C12" s="82" t="s">
        <v>23</v>
      </c>
      <c r="D12" s="82"/>
      <c r="E12" s="82"/>
      <c r="F12" s="82"/>
      <c r="G12" s="12">
        <f>ROUND('Stavební rozpočet'!I17,2)</f>
        <v>0</v>
      </c>
      <c r="H12" s="11" t="s">
        <v>21</v>
      </c>
      <c r="I12" s="12">
        <f t="shared" si="0"/>
        <v>0</v>
      </c>
    </row>
    <row r="13" spans="1:9" x14ac:dyDescent="0.2">
      <c r="A13" s="1" t="s">
        <v>18</v>
      </c>
      <c r="B13" s="2" t="s">
        <v>24</v>
      </c>
      <c r="C13" s="82" t="s">
        <v>25</v>
      </c>
      <c r="D13" s="82"/>
      <c r="E13" s="82"/>
      <c r="F13" s="82"/>
      <c r="G13" s="12">
        <f>ROUND('Stavební rozpočet'!I27,2)</f>
        <v>0</v>
      </c>
      <c r="H13" s="11" t="s">
        <v>21</v>
      </c>
      <c r="I13" s="12">
        <f t="shared" si="0"/>
        <v>0</v>
      </c>
    </row>
    <row r="14" spans="1:9" x14ac:dyDescent="0.2">
      <c r="A14" s="1" t="s">
        <v>18</v>
      </c>
      <c r="B14" s="2" t="s">
        <v>26</v>
      </c>
      <c r="C14" s="82" t="s">
        <v>27</v>
      </c>
      <c r="D14" s="82"/>
      <c r="E14" s="82"/>
      <c r="F14" s="82"/>
      <c r="G14" s="12">
        <f>ROUND('Stavební rozpočet'!I31,2)</f>
        <v>0</v>
      </c>
      <c r="H14" s="11" t="s">
        <v>21</v>
      </c>
      <c r="I14" s="12">
        <f t="shared" si="0"/>
        <v>0</v>
      </c>
    </row>
    <row r="15" spans="1:9" x14ac:dyDescent="0.2">
      <c r="A15" s="1" t="s">
        <v>18</v>
      </c>
      <c r="B15" s="2" t="s">
        <v>28</v>
      </c>
      <c r="C15" s="82" t="s">
        <v>29</v>
      </c>
      <c r="D15" s="82"/>
      <c r="E15" s="82"/>
      <c r="F15" s="82"/>
      <c r="G15" s="12">
        <f>ROUND('Stavební rozpočet'!I36,2)</f>
        <v>0</v>
      </c>
      <c r="H15" s="11" t="s">
        <v>21</v>
      </c>
      <c r="I15" s="12">
        <f t="shared" si="0"/>
        <v>0</v>
      </c>
    </row>
    <row r="16" spans="1:9" x14ac:dyDescent="0.2">
      <c r="A16" s="1" t="s">
        <v>18</v>
      </c>
      <c r="B16" s="2" t="s">
        <v>30</v>
      </c>
      <c r="C16" s="82" t="s">
        <v>31</v>
      </c>
      <c r="D16" s="82"/>
      <c r="E16" s="82"/>
      <c r="F16" s="82"/>
      <c r="G16" s="12">
        <f>ROUND('Stavební rozpočet'!I41,2)</f>
        <v>0</v>
      </c>
      <c r="H16" s="11" t="s">
        <v>21</v>
      </c>
      <c r="I16" s="12">
        <f t="shared" si="0"/>
        <v>0</v>
      </c>
    </row>
    <row r="17" spans="1:9" x14ac:dyDescent="0.2">
      <c r="A17" s="1" t="s">
        <v>18</v>
      </c>
      <c r="B17" s="2" t="s">
        <v>32</v>
      </c>
      <c r="C17" s="82" t="s">
        <v>33</v>
      </c>
      <c r="D17" s="82"/>
      <c r="E17" s="82"/>
      <c r="F17" s="82"/>
      <c r="G17" s="12">
        <f>ROUND('Stavební rozpočet'!I45,2)</f>
        <v>0</v>
      </c>
      <c r="H17" s="11" t="s">
        <v>21</v>
      </c>
      <c r="I17" s="12">
        <f t="shared" si="0"/>
        <v>0</v>
      </c>
    </row>
    <row r="18" spans="1:9" x14ac:dyDescent="0.2">
      <c r="A18" s="1" t="s">
        <v>18</v>
      </c>
      <c r="B18" s="2" t="s">
        <v>34</v>
      </c>
      <c r="C18" s="82" t="s">
        <v>35</v>
      </c>
      <c r="D18" s="82"/>
      <c r="E18" s="82"/>
      <c r="F18" s="82"/>
      <c r="G18" s="12">
        <f>ROUND('Stavební rozpočet'!I53,2)</f>
        <v>0</v>
      </c>
      <c r="H18" s="11" t="s">
        <v>21</v>
      </c>
      <c r="I18" s="12">
        <f t="shared" si="0"/>
        <v>0</v>
      </c>
    </row>
    <row r="19" spans="1:9" x14ac:dyDescent="0.2">
      <c r="A19" s="1" t="s">
        <v>18</v>
      </c>
      <c r="B19" s="2" t="s">
        <v>36</v>
      </c>
      <c r="C19" s="82" t="s">
        <v>37</v>
      </c>
      <c r="D19" s="82"/>
      <c r="E19" s="82"/>
      <c r="F19" s="82"/>
      <c r="G19" s="12">
        <f>ROUND('Stavební rozpočet'!I56,2)</f>
        <v>0</v>
      </c>
      <c r="H19" s="11" t="s">
        <v>21</v>
      </c>
      <c r="I19" s="12">
        <f t="shared" si="0"/>
        <v>0</v>
      </c>
    </row>
    <row r="20" spans="1:9" x14ac:dyDescent="0.2">
      <c r="A20" s="1" t="s">
        <v>18</v>
      </c>
      <c r="B20" s="2" t="s">
        <v>38</v>
      </c>
      <c r="C20" s="82" t="s">
        <v>39</v>
      </c>
      <c r="D20" s="82"/>
      <c r="E20" s="82"/>
      <c r="F20" s="82"/>
      <c r="G20" s="12">
        <f>ROUND('Stavební rozpočet'!I59,2)</f>
        <v>0</v>
      </c>
      <c r="H20" s="11" t="s">
        <v>21</v>
      </c>
      <c r="I20" s="12">
        <f t="shared" si="0"/>
        <v>0</v>
      </c>
    </row>
    <row r="21" spans="1:9" x14ac:dyDescent="0.2">
      <c r="A21" s="1" t="s">
        <v>18</v>
      </c>
      <c r="B21" s="2" t="s">
        <v>40</v>
      </c>
      <c r="C21" s="82" t="s">
        <v>41</v>
      </c>
      <c r="D21" s="82"/>
      <c r="E21" s="82"/>
      <c r="F21" s="82"/>
      <c r="G21" s="12">
        <f>ROUND('Stavební rozpočet'!I62,2)</f>
        <v>0</v>
      </c>
      <c r="H21" s="11" t="s">
        <v>21</v>
      </c>
      <c r="I21" s="12">
        <f t="shared" si="0"/>
        <v>0</v>
      </c>
    </row>
    <row r="22" spans="1:9" x14ac:dyDescent="0.2">
      <c r="A22" s="1" t="s">
        <v>18</v>
      </c>
      <c r="B22" s="2" t="s">
        <v>42</v>
      </c>
      <c r="C22" s="82" t="s">
        <v>43</v>
      </c>
      <c r="D22" s="82"/>
      <c r="E22" s="82"/>
      <c r="F22" s="82"/>
      <c r="G22" s="12">
        <f>ROUND('Stavební rozpočet'!I69,2)</f>
        <v>0</v>
      </c>
      <c r="H22" s="11" t="s">
        <v>21</v>
      </c>
      <c r="I22" s="12">
        <f t="shared" si="0"/>
        <v>0</v>
      </c>
    </row>
    <row r="23" spans="1:9" x14ac:dyDescent="0.2">
      <c r="F23" s="3" t="s">
        <v>44</v>
      </c>
      <c r="G23" s="13">
        <f>ROUND(SUM(I11:I22),2)</f>
        <v>0</v>
      </c>
    </row>
  </sheetData>
  <mergeCells count="37"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  <mergeCell ref="G2:G3"/>
    <mergeCell ref="G4:G5"/>
    <mergeCell ref="G6:G7"/>
    <mergeCell ref="G8:G9"/>
    <mergeCell ref="C11:F11"/>
    <mergeCell ref="C8:C9"/>
    <mergeCell ref="E2:E3"/>
    <mergeCell ref="E4:E5"/>
    <mergeCell ref="E6:E7"/>
    <mergeCell ref="E8:E9"/>
    <mergeCell ref="C12:F12"/>
    <mergeCell ref="C13:F13"/>
    <mergeCell ref="C14:F14"/>
    <mergeCell ref="C15:F15"/>
    <mergeCell ref="C16:F16"/>
    <mergeCell ref="C22:F22"/>
    <mergeCell ref="C17:F17"/>
    <mergeCell ref="C18:F18"/>
    <mergeCell ref="C19:F19"/>
    <mergeCell ref="C20:F20"/>
    <mergeCell ref="C21:F21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A12" sqref="A12:I12"/>
    </sheetView>
  </sheetViews>
  <sheetFormatPr baseColWidth="10" defaultColWidth="12.1640625" defaultRowHeight="15" customHeight="1" x14ac:dyDescent="0.2"/>
  <cols>
    <col min="1" max="1" width="9.1640625" customWidth="1"/>
    <col min="2" max="2" width="12.83203125" customWidth="1"/>
    <col min="3" max="3" width="27.1640625" customWidth="1"/>
    <col min="4" max="4" width="10" customWidth="1"/>
    <col min="5" max="5" width="14" customWidth="1"/>
    <col min="6" max="6" width="27.1640625" customWidth="1"/>
    <col min="7" max="7" width="9.1640625" customWidth="1"/>
    <col min="8" max="8" width="12.83203125" customWidth="1"/>
    <col min="9" max="9" width="27.1640625" customWidth="1"/>
  </cols>
  <sheetData>
    <row r="1" spans="1:9" ht="54.75" customHeight="1" x14ac:dyDescent="0.2">
      <c r="A1" s="134" t="s">
        <v>45</v>
      </c>
      <c r="B1" s="91"/>
      <c r="C1" s="91"/>
      <c r="D1" s="91"/>
      <c r="E1" s="91"/>
      <c r="F1" s="91"/>
      <c r="G1" s="91"/>
      <c r="H1" s="91"/>
      <c r="I1" s="91"/>
    </row>
    <row r="2" spans="1:9" x14ac:dyDescent="0.2">
      <c r="A2" s="92" t="s">
        <v>1</v>
      </c>
      <c r="B2" s="89"/>
      <c r="C2" s="97" t="str">
        <f>'Stavební rozpočet'!D2</f>
        <v>24152 Bruntál, oprava MK Lomená</v>
      </c>
      <c r="D2" s="138"/>
      <c r="E2" s="96" t="s">
        <v>4</v>
      </c>
      <c r="F2" s="96" t="str">
        <f>'Stavební rozpočet'!J2</f>
        <v>Město Bruntál</v>
      </c>
      <c r="G2" s="89"/>
      <c r="H2" s="96" t="s">
        <v>46</v>
      </c>
      <c r="I2" s="135" t="s">
        <v>249</v>
      </c>
    </row>
    <row r="3" spans="1:9" ht="15" customHeight="1" x14ac:dyDescent="0.2">
      <c r="A3" s="93"/>
      <c r="B3" s="82"/>
      <c r="C3" s="98"/>
      <c r="D3" s="98"/>
      <c r="E3" s="82"/>
      <c r="F3" s="82"/>
      <c r="G3" s="82"/>
      <c r="H3" s="82"/>
      <c r="I3" s="136"/>
    </row>
    <row r="4" spans="1:9" x14ac:dyDescent="0.2">
      <c r="A4" s="94" t="s">
        <v>5</v>
      </c>
      <c r="B4" s="82"/>
      <c r="C4" s="87" t="str">
        <f>'Stavební rozpočet'!D4</f>
        <v xml:space="preserve"> </v>
      </c>
      <c r="D4" s="82"/>
      <c r="E4" s="87" t="s">
        <v>8</v>
      </c>
      <c r="F4" s="87" t="str">
        <f>'Stavební rozpočet'!J4</f>
        <v> </v>
      </c>
      <c r="G4" s="82"/>
      <c r="H4" s="87" t="s">
        <v>46</v>
      </c>
      <c r="I4" s="84" t="s">
        <v>18</v>
      </c>
    </row>
    <row r="5" spans="1:9" ht="15" customHeight="1" x14ac:dyDescent="0.2">
      <c r="A5" s="93"/>
      <c r="B5" s="82"/>
      <c r="C5" s="82"/>
      <c r="D5" s="82"/>
      <c r="E5" s="82"/>
      <c r="F5" s="82"/>
      <c r="G5" s="82"/>
      <c r="H5" s="82"/>
      <c r="I5" s="84"/>
    </row>
    <row r="6" spans="1:9" x14ac:dyDescent="0.2">
      <c r="A6" s="94" t="s">
        <v>9</v>
      </c>
      <c r="B6" s="82"/>
      <c r="C6" s="87" t="str">
        <f>'Stavební rozpočet'!D6</f>
        <v xml:space="preserve"> </v>
      </c>
      <c r="D6" s="82"/>
      <c r="E6" s="87" t="s">
        <v>11</v>
      </c>
      <c r="F6" s="87" t="str">
        <f>'Stavební rozpočet'!J6</f>
        <v> </v>
      </c>
      <c r="G6" s="82"/>
      <c r="H6" s="87" t="s">
        <v>46</v>
      </c>
      <c r="I6" s="84" t="s">
        <v>18</v>
      </c>
    </row>
    <row r="7" spans="1:9" ht="15" customHeight="1" x14ac:dyDescent="0.2">
      <c r="A7" s="93"/>
      <c r="B7" s="82"/>
      <c r="C7" s="82"/>
      <c r="D7" s="82"/>
      <c r="E7" s="82"/>
      <c r="F7" s="82"/>
      <c r="G7" s="82"/>
      <c r="H7" s="82"/>
      <c r="I7" s="84"/>
    </row>
    <row r="8" spans="1:9" x14ac:dyDescent="0.2">
      <c r="A8" s="94" t="s">
        <v>6</v>
      </c>
      <c r="B8" s="82"/>
      <c r="C8" s="87"/>
      <c r="D8" s="82"/>
      <c r="E8" s="87" t="s">
        <v>10</v>
      </c>
      <c r="F8" s="87" t="str">
        <f>'Stavební rozpočet'!H6</f>
        <v xml:space="preserve"> </v>
      </c>
      <c r="G8" s="82"/>
      <c r="H8" s="82" t="s">
        <v>47</v>
      </c>
      <c r="I8" s="137">
        <v>24</v>
      </c>
    </row>
    <row r="9" spans="1:9" x14ac:dyDescent="0.2">
      <c r="A9" s="93"/>
      <c r="B9" s="82"/>
      <c r="C9" s="82"/>
      <c r="D9" s="82"/>
      <c r="E9" s="82"/>
      <c r="F9" s="82"/>
      <c r="G9" s="82"/>
      <c r="H9" s="82"/>
      <c r="I9" s="84"/>
    </row>
    <row r="10" spans="1:9" x14ac:dyDescent="0.2">
      <c r="A10" s="94" t="s">
        <v>48</v>
      </c>
      <c r="B10" s="82"/>
      <c r="C10" s="87" t="str">
        <f>'Stavební rozpočet'!D8</f>
        <v xml:space="preserve"> </v>
      </c>
      <c r="D10" s="82"/>
      <c r="E10" s="87" t="s">
        <v>12</v>
      </c>
      <c r="F10" s="87" t="s">
        <v>250</v>
      </c>
      <c r="G10" s="82"/>
      <c r="H10" s="82" t="s">
        <v>49</v>
      </c>
      <c r="I10" s="85" t="str">
        <f>'Stavební rozpočet'!H8</f>
        <v>08.10.2024</v>
      </c>
    </row>
    <row r="11" spans="1:9" x14ac:dyDescent="0.2">
      <c r="A11" s="133"/>
      <c r="B11" s="90"/>
      <c r="C11" s="90"/>
      <c r="D11" s="90"/>
      <c r="E11" s="90"/>
      <c r="F11" s="90"/>
      <c r="G11" s="90"/>
      <c r="H11" s="90"/>
      <c r="I11" s="129"/>
    </row>
    <row r="12" spans="1:9" ht="23" x14ac:dyDescent="0.2">
      <c r="A12" s="130" t="s">
        <v>50</v>
      </c>
      <c r="B12" s="130"/>
      <c r="C12" s="130"/>
      <c r="D12" s="130"/>
      <c r="E12" s="130"/>
      <c r="F12" s="130"/>
      <c r="G12" s="130"/>
      <c r="H12" s="130"/>
      <c r="I12" s="130"/>
    </row>
    <row r="13" spans="1:9" ht="26.25" customHeight="1" x14ac:dyDescent="0.2">
      <c r="A13" s="14" t="s">
        <v>51</v>
      </c>
      <c r="B13" s="131" t="s">
        <v>52</v>
      </c>
      <c r="C13" s="132"/>
      <c r="D13" s="15" t="s">
        <v>53</v>
      </c>
      <c r="E13" s="131" t="s">
        <v>54</v>
      </c>
      <c r="F13" s="132"/>
      <c r="G13" s="15" t="s">
        <v>55</v>
      </c>
      <c r="H13" s="131" t="s">
        <v>56</v>
      </c>
      <c r="I13" s="132"/>
    </row>
    <row r="14" spans="1:9" ht="16" x14ac:dyDescent="0.2">
      <c r="A14" s="16" t="s">
        <v>57</v>
      </c>
      <c r="B14" s="17" t="s">
        <v>58</v>
      </c>
      <c r="C14" s="18">
        <f>SUM('Stavební rozpočet'!AB12:AB70)</f>
        <v>0</v>
      </c>
      <c r="D14" s="119" t="s">
        <v>59</v>
      </c>
      <c r="E14" s="120"/>
      <c r="F14" s="18">
        <f>VORN!I15</f>
        <v>0</v>
      </c>
      <c r="G14" s="119" t="s">
        <v>60</v>
      </c>
      <c r="H14" s="120"/>
      <c r="I14" s="19">
        <f>VORN!I21</f>
        <v>0</v>
      </c>
    </row>
    <row r="15" spans="1:9" ht="16" x14ac:dyDescent="0.2">
      <c r="A15" s="20" t="s">
        <v>18</v>
      </c>
      <c r="B15" s="17" t="s">
        <v>61</v>
      </c>
      <c r="C15" s="18">
        <f>SUM('Stavební rozpočet'!AC12:AC70)</f>
        <v>0</v>
      </c>
      <c r="D15" s="119" t="s">
        <v>62</v>
      </c>
      <c r="E15" s="120"/>
      <c r="F15" s="18">
        <f>VORN!I16</f>
        <v>0</v>
      </c>
      <c r="G15" s="119" t="s">
        <v>63</v>
      </c>
      <c r="H15" s="120"/>
      <c r="I15" s="19">
        <f>VORN!I22</f>
        <v>0</v>
      </c>
    </row>
    <row r="16" spans="1:9" ht="16" x14ac:dyDescent="0.2">
      <c r="A16" s="16" t="s">
        <v>64</v>
      </c>
      <c r="B16" s="17" t="s">
        <v>58</v>
      </c>
      <c r="C16" s="18">
        <f>SUM('Stavební rozpočet'!AD12:AD70)</f>
        <v>0</v>
      </c>
      <c r="D16" s="119" t="s">
        <v>65</v>
      </c>
      <c r="E16" s="120"/>
      <c r="F16" s="18">
        <f>VORN!I17</f>
        <v>0</v>
      </c>
      <c r="G16" s="119" t="s">
        <v>66</v>
      </c>
      <c r="H16" s="120"/>
      <c r="I16" s="19">
        <f>VORN!I23</f>
        <v>0</v>
      </c>
    </row>
    <row r="17" spans="1:9" ht="16" x14ac:dyDescent="0.2">
      <c r="A17" s="20" t="s">
        <v>18</v>
      </c>
      <c r="B17" s="17" t="s">
        <v>61</v>
      </c>
      <c r="C17" s="18">
        <f>SUM('Stavební rozpočet'!AE12:AE70)</f>
        <v>0</v>
      </c>
      <c r="D17" s="119" t="s">
        <v>18</v>
      </c>
      <c r="E17" s="120"/>
      <c r="F17" s="19" t="s">
        <v>18</v>
      </c>
      <c r="G17" s="119" t="s">
        <v>67</v>
      </c>
      <c r="H17" s="120"/>
      <c r="I17" s="19">
        <f>VORN!I24</f>
        <v>0</v>
      </c>
    </row>
    <row r="18" spans="1:9" ht="16" x14ac:dyDescent="0.2">
      <c r="A18" s="16" t="s">
        <v>68</v>
      </c>
      <c r="B18" s="17" t="s">
        <v>58</v>
      </c>
      <c r="C18" s="18">
        <f>SUM('Stavební rozpočet'!AF12:AF70)</f>
        <v>0</v>
      </c>
      <c r="D18" s="119" t="s">
        <v>18</v>
      </c>
      <c r="E18" s="120"/>
      <c r="F18" s="19" t="s">
        <v>18</v>
      </c>
      <c r="G18" s="119" t="s">
        <v>69</v>
      </c>
      <c r="H18" s="120"/>
      <c r="I18" s="19">
        <f>VORN!I25</f>
        <v>0</v>
      </c>
    </row>
    <row r="19" spans="1:9" ht="16" x14ac:dyDescent="0.2">
      <c r="A19" s="20" t="s">
        <v>18</v>
      </c>
      <c r="B19" s="17" t="s">
        <v>61</v>
      </c>
      <c r="C19" s="18">
        <f>SUM('Stavební rozpočet'!AG12:AG70)</f>
        <v>0</v>
      </c>
      <c r="D19" s="119" t="s">
        <v>18</v>
      </c>
      <c r="E19" s="120"/>
      <c r="F19" s="19" t="s">
        <v>18</v>
      </c>
      <c r="G19" s="119" t="s">
        <v>70</v>
      </c>
      <c r="H19" s="120"/>
      <c r="I19" s="19">
        <f>VORN!I26</f>
        <v>0</v>
      </c>
    </row>
    <row r="20" spans="1:9" ht="16" x14ac:dyDescent="0.2">
      <c r="A20" s="111" t="s">
        <v>71</v>
      </c>
      <c r="B20" s="112"/>
      <c r="C20" s="18">
        <f>SUM('Stavební rozpočet'!AH12:AH70)</f>
        <v>0</v>
      </c>
      <c r="D20" s="119" t="s">
        <v>18</v>
      </c>
      <c r="E20" s="120"/>
      <c r="F20" s="19" t="s">
        <v>18</v>
      </c>
      <c r="G20" s="119" t="s">
        <v>18</v>
      </c>
      <c r="H20" s="120"/>
      <c r="I20" s="19" t="s">
        <v>18</v>
      </c>
    </row>
    <row r="21" spans="1:9" ht="16" x14ac:dyDescent="0.2">
      <c r="A21" s="126" t="s">
        <v>72</v>
      </c>
      <c r="B21" s="127"/>
      <c r="C21" s="21">
        <f>SUM('Stavební rozpočet'!Z12:Z70)</f>
        <v>0</v>
      </c>
      <c r="D21" s="121" t="s">
        <v>18</v>
      </c>
      <c r="E21" s="122"/>
      <c r="F21" s="22" t="s">
        <v>18</v>
      </c>
      <c r="G21" s="121" t="s">
        <v>18</v>
      </c>
      <c r="H21" s="122"/>
      <c r="I21" s="22" t="s">
        <v>18</v>
      </c>
    </row>
    <row r="22" spans="1:9" ht="16.5" customHeight="1" x14ac:dyDescent="0.2">
      <c r="A22" s="128" t="s">
        <v>73</v>
      </c>
      <c r="B22" s="124"/>
      <c r="C22" s="23">
        <f>ROUND(SUM(C14:C21),2)</f>
        <v>0</v>
      </c>
      <c r="D22" s="123" t="s">
        <v>74</v>
      </c>
      <c r="E22" s="124"/>
      <c r="F22" s="23">
        <f>SUM(F14:F21)</f>
        <v>0</v>
      </c>
      <c r="G22" s="123" t="s">
        <v>75</v>
      </c>
      <c r="H22" s="124"/>
      <c r="I22" s="23">
        <f>SUM(I14:I21)</f>
        <v>0</v>
      </c>
    </row>
    <row r="23" spans="1:9" ht="16" x14ac:dyDescent="0.2">
      <c r="D23" s="111" t="s">
        <v>76</v>
      </c>
      <c r="E23" s="112"/>
      <c r="F23" s="24">
        <v>0</v>
      </c>
      <c r="G23" s="125" t="s">
        <v>77</v>
      </c>
      <c r="H23" s="112"/>
      <c r="I23" s="18">
        <v>0</v>
      </c>
    </row>
    <row r="24" spans="1:9" ht="16" x14ac:dyDescent="0.2">
      <c r="G24" s="111" t="s">
        <v>78</v>
      </c>
      <c r="H24" s="112"/>
      <c r="I24" s="21">
        <f>vorn_sum</f>
        <v>0</v>
      </c>
    </row>
    <row r="25" spans="1:9" ht="16" x14ac:dyDescent="0.2">
      <c r="G25" s="111" t="s">
        <v>79</v>
      </c>
      <c r="H25" s="112"/>
      <c r="I25" s="23">
        <v>0</v>
      </c>
    </row>
    <row r="27" spans="1:9" ht="16" x14ac:dyDescent="0.2">
      <c r="A27" s="113" t="s">
        <v>80</v>
      </c>
      <c r="B27" s="114"/>
      <c r="C27" s="25">
        <f>ROUND(SUM('Stavební rozpočet'!AJ12:AJ70),2)</f>
        <v>0</v>
      </c>
    </row>
    <row r="28" spans="1:9" ht="16" x14ac:dyDescent="0.2">
      <c r="A28" s="115" t="s">
        <v>81</v>
      </c>
      <c r="B28" s="116"/>
      <c r="C28" s="26">
        <f>ROUND(SUM('Stavební rozpočet'!AK12:AK70),2)</f>
        <v>0</v>
      </c>
      <c r="D28" s="117" t="s">
        <v>82</v>
      </c>
      <c r="E28" s="114"/>
      <c r="F28" s="25">
        <f>ROUND(C28*(12/100),2)</f>
        <v>0</v>
      </c>
      <c r="G28" s="117" t="s">
        <v>83</v>
      </c>
      <c r="H28" s="114"/>
      <c r="I28" s="25">
        <f>ROUND(SUM(C27:C29),2)</f>
        <v>0</v>
      </c>
    </row>
    <row r="29" spans="1:9" ht="16" x14ac:dyDescent="0.2">
      <c r="A29" s="115" t="s">
        <v>84</v>
      </c>
      <c r="B29" s="116"/>
      <c r="C29" s="26">
        <f>ROUND(SUM('Stavební rozpočet'!AL12:AL70)+(F22+I22+F23+I23+I24+I25),2)</f>
        <v>0</v>
      </c>
      <c r="D29" s="118" t="s">
        <v>85</v>
      </c>
      <c r="E29" s="116"/>
      <c r="F29" s="26">
        <f>ROUND(C29*(21/100),2)</f>
        <v>0</v>
      </c>
      <c r="G29" s="118" t="s">
        <v>86</v>
      </c>
      <c r="H29" s="116"/>
      <c r="I29" s="26">
        <f>ROUND(SUM(F28:F29)+I28,2)</f>
        <v>0</v>
      </c>
    </row>
    <row r="31" spans="1:9" ht="16" x14ac:dyDescent="0.2">
      <c r="A31" s="108" t="s">
        <v>87</v>
      </c>
      <c r="B31" s="100"/>
      <c r="C31" s="101"/>
      <c r="D31" s="99" t="s">
        <v>88</v>
      </c>
      <c r="E31" s="100"/>
      <c r="F31" s="101"/>
      <c r="G31" s="99" t="s">
        <v>89</v>
      </c>
      <c r="H31" s="100"/>
      <c r="I31" s="101"/>
    </row>
    <row r="32" spans="1:9" ht="16" x14ac:dyDescent="0.2">
      <c r="A32" s="109" t="s">
        <v>18</v>
      </c>
      <c r="B32" s="103"/>
      <c r="C32" s="104"/>
      <c r="D32" s="102" t="s">
        <v>18</v>
      </c>
      <c r="E32" s="103"/>
      <c r="F32" s="104"/>
      <c r="G32" s="102" t="s">
        <v>18</v>
      </c>
      <c r="H32" s="103"/>
      <c r="I32" s="104"/>
    </row>
    <row r="33" spans="1:9" ht="16" x14ac:dyDescent="0.2">
      <c r="A33" s="109" t="s">
        <v>18</v>
      </c>
      <c r="B33" s="103"/>
      <c r="C33" s="104"/>
      <c r="D33" s="102" t="s">
        <v>18</v>
      </c>
      <c r="E33" s="103"/>
      <c r="F33" s="104"/>
      <c r="G33" s="102" t="s">
        <v>18</v>
      </c>
      <c r="H33" s="103"/>
      <c r="I33" s="104"/>
    </row>
    <row r="34" spans="1:9" ht="16" x14ac:dyDescent="0.2">
      <c r="A34" s="109" t="s">
        <v>18</v>
      </c>
      <c r="B34" s="103"/>
      <c r="C34" s="104"/>
      <c r="D34" s="102" t="s">
        <v>18</v>
      </c>
      <c r="E34" s="103"/>
      <c r="F34" s="104"/>
      <c r="G34" s="102" t="s">
        <v>18</v>
      </c>
      <c r="H34" s="103"/>
      <c r="I34" s="104"/>
    </row>
    <row r="35" spans="1:9" ht="16" x14ac:dyDescent="0.2">
      <c r="A35" s="110" t="s">
        <v>90</v>
      </c>
      <c r="B35" s="106"/>
      <c r="C35" s="107"/>
      <c r="D35" s="105" t="s">
        <v>90</v>
      </c>
      <c r="E35" s="106"/>
      <c r="F35" s="107"/>
      <c r="G35" s="105" t="s">
        <v>90</v>
      </c>
      <c r="H35" s="106"/>
      <c r="I35" s="107"/>
    </row>
    <row r="36" spans="1:9" x14ac:dyDescent="0.2">
      <c r="A36" s="27" t="s">
        <v>91</v>
      </c>
    </row>
    <row r="37" spans="1:9" ht="12.75" customHeight="1" x14ac:dyDescent="0.2">
      <c r="A37" s="87" t="s">
        <v>18</v>
      </c>
      <c r="B37" s="82"/>
      <c r="C37" s="82"/>
      <c r="D37" s="82"/>
      <c r="E37" s="82"/>
      <c r="F37" s="82"/>
      <c r="G37" s="82"/>
      <c r="H37" s="82"/>
      <c r="I37" s="82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baseColWidth="10" defaultColWidth="12.1640625" defaultRowHeight="15" customHeight="1" x14ac:dyDescent="0.2"/>
  <cols>
    <col min="1" max="1" width="9.1640625" customWidth="1"/>
    <col min="2" max="2" width="12.83203125" customWidth="1"/>
    <col min="3" max="3" width="22.83203125" customWidth="1"/>
    <col min="4" max="4" width="10" customWidth="1"/>
    <col min="5" max="5" width="14" customWidth="1"/>
    <col min="6" max="6" width="22.83203125" customWidth="1"/>
    <col min="7" max="7" width="9.1640625" customWidth="1"/>
    <col min="8" max="8" width="17.1640625" customWidth="1"/>
    <col min="9" max="9" width="22.83203125" customWidth="1"/>
  </cols>
  <sheetData>
    <row r="1" spans="1:9" ht="54.75" customHeight="1" x14ac:dyDescent="0.2">
      <c r="A1" s="134" t="s">
        <v>92</v>
      </c>
      <c r="B1" s="91"/>
      <c r="C1" s="91"/>
      <c r="D1" s="91"/>
      <c r="E1" s="91"/>
      <c r="F1" s="91"/>
      <c r="G1" s="91"/>
      <c r="H1" s="91"/>
      <c r="I1" s="91"/>
    </row>
    <row r="2" spans="1:9" x14ac:dyDescent="0.2">
      <c r="A2" s="92" t="s">
        <v>1</v>
      </c>
      <c r="B2" s="89"/>
      <c r="C2" s="97" t="str">
        <f>'Stavební rozpočet'!D2</f>
        <v>24152 Bruntál, oprava MK Lomená</v>
      </c>
      <c r="D2" s="138"/>
      <c r="E2" s="96" t="s">
        <v>4</v>
      </c>
      <c r="F2" s="96" t="str">
        <f>'Stavební rozpočet'!J2</f>
        <v>Město Bruntál</v>
      </c>
      <c r="G2" s="89"/>
      <c r="H2" s="96" t="s">
        <v>46</v>
      </c>
      <c r="I2" s="158" t="s">
        <v>18</v>
      </c>
    </row>
    <row r="3" spans="1:9" ht="15" customHeight="1" x14ac:dyDescent="0.2">
      <c r="A3" s="93"/>
      <c r="B3" s="82"/>
      <c r="C3" s="98"/>
      <c r="D3" s="98"/>
      <c r="E3" s="82"/>
      <c r="F3" s="82"/>
      <c r="G3" s="82"/>
      <c r="H3" s="82"/>
      <c r="I3" s="84"/>
    </row>
    <row r="4" spans="1:9" x14ac:dyDescent="0.2">
      <c r="A4" s="94" t="s">
        <v>5</v>
      </c>
      <c r="B4" s="82"/>
      <c r="C4" s="87" t="str">
        <f>'Stavební rozpočet'!D4</f>
        <v xml:space="preserve"> </v>
      </c>
      <c r="D4" s="82"/>
      <c r="E4" s="87" t="s">
        <v>8</v>
      </c>
      <c r="F4" s="87" t="str">
        <f>'Stavební rozpočet'!J4</f>
        <v> </v>
      </c>
      <c r="G4" s="82"/>
      <c r="H4" s="87" t="s">
        <v>46</v>
      </c>
      <c r="I4" s="84" t="s">
        <v>18</v>
      </c>
    </row>
    <row r="5" spans="1:9" ht="15" customHeight="1" x14ac:dyDescent="0.2">
      <c r="A5" s="93"/>
      <c r="B5" s="82"/>
      <c r="C5" s="82"/>
      <c r="D5" s="82"/>
      <c r="E5" s="82"/>
      <c r="F5" s="82"/>
      <c r="G5" s="82"/>
      <c r="H5" s="82"/>
      <c r="I5" s="84"/>
    </row>
    <row r="6" spans="1:9" x14ac:dyDescent="0.2">
      <c r="A6" s="94" t="s">
        <v>9</v>
      </c>
      <c r="B6" s="82"/>
      <c r="C6" s="87" t="str">
        <f>'Stavební rozpočet'!D6</f>
        <v xml:space="preserve"> </v>
      </c>
      <c r="D6" s="82"/>
      <c r="E6" s="87" t="s">
        <v>11</v>
      </c>
      <c r="F6" s="87" t="str">
        <f>'Stavební rozpočet'!J6</f>
        <v> </v>
      </c>
      <c r="G6" s="82"/>
      <c r="H6" s="87" t="s">
        <v>46</v>
      </c>
      <c r="I6" s="84" t="s">
        <v>18</v>
      </c>
    </row>
    <row r="7" spans="1:9" ht="15" customHeight="1" x14ac:dyDescent="0.2">
      <c r="A7" s="93"/>
      <c r="B7" s="82"/>
      <c r="C7" s="82"/>
      <c r="D7" s="82"/>
      <c r="E7" s="82"/>
      <c r="F7" s="82"/>
      <c r="G7" s="82"/>
      <c r="H7" s="82"/>
      <c r="I7" s="84"/>
    </row>
    <row r="8" spans="1:9" x14ac:dyDescent="0.2">
      <c r="A8" s="94" t="s">
        <v>6</v>
      </c>
      <c r="B8" s="82"/>
      <c r="C8" s="87">
        <f>'Stavební rozpočet'!H4</f>
        <v>0</v>
      </c>
      <c r="D8" s="82"/>
      <c r="E8" s="87" t="s">
        <v>10</v>
      </c>
      <c r="F8" s="87" t="str">
        <f>'Stavební rozpočet'!H6</f>
        <v xml:space="preserve"> </v>
      </c>
      <c r="G8" s="82"/>
      <c r="H8" s="82" t="s">
        <v>47</v>
      </c>
      <c r="I8" s="137">
        <v>24</v>
      </c>
    </row>
    <row r="9" spans="1:9" x14ac:dyDescent="0.2">
      <c r="A9" s="93"/>
      <c r="B9" s="82"/>
      <c r="C9" s="82"/>
      <c r="D9" s="82"/>
      <c r="E9" s="82"/>
      <c r="F9" s="82"/>
      <c r="G9" s="82"/>
      <c r="H9" s="82"/>
      <c r="I9" s="84"/>
    </row>
    <row r="10" spans="1:9" x14ac:dyDescent="0.2">
      <c r="A10" s="94" t="s">
        <v>48</v>
      </c>
      <c r="B10" s="82"/>
      <c r="C10" s="87" t="str">
        <f>'Stavební rozpočet'!D8</f>
        <v xml:space="preserve"> </v>
      </c>
      <c r="D10" s="82"/>
      <c r="E10" s="87" t="s">
        <v>12</v>
      </c>
      <c r="F10" s="87" t="str">
        <f>'Stavební rozpočet'!J8</f>
        <v>M. Petrů</v>
      </c>
      <c r="G10" s="82"/>
      <c r="H10" s="82" t="s">
        <v>49</v>
      </c>
      <c r="I10" s="85" t="str">
        <f>'Stavební rozpočet'!H8</f>
        <v>08.10.2024</v>
      </c>
    </row>
    <row r="11" spans="1:9" x14ac:dyDescent="0.2">
      <c r="A11" s="133"/>
      <c r="B11" s="90"/>
      <c r="C11" s="90"/>
      <c r="D11" s="90"/>
      <c r="E11" s="90"/>
      <c r="F11" s="90"/>
      <c r="G11" s="90"/>
      <c r="H11" s="90"/>
      <c r="I11" s="129"/>
    </row>
    <row r="13" spans="1:9" ht="16" x14ac:dyDescent="0.2">
      <c r="A13" s="148" t="s">
        <v>93</v>
      </c>
      <c r="B13" s="148"/>
      <c r="C13" s="148"/>
      <c r="D13" s="148"/>
      <c r="E13" s="148"/>
    </row>
    <row r="14" spans="1:9" x14ac:dyDescent="0.2">
      <c r="A14" s="149" t="s">
        <v>94</v>
      </c>
      <c r="B14" s="150"/>
      <c r="C14" s="150"/>
      <c r="D14" s="150"/>
      <c r="E14" s="151"/>
      <c r="F14" s="28" t="s">
        <v>95</v>
      </c>
      <c r="G14" s="28" t="s">
        <v>96</v>
      </c>
      <c r="H14" s="28" t="s">
        <v>97</v>
      </c>
      <c r="I14" s="28" t="s">
        <v>95</v>
      </c>
    </row>
    <row r="15" spans="1:9" x14ac:dyDescent="0.2">
      <c r="A15" s="155" t="s">
        <v>59</v>
      </c>
      <c r="B15" s="156"/>
      <c r="C15" s="156"/>
      <c r="D15" s="156"/>
      <c r="E15" s="157"/>
      <c r="F15" s="29">
        <v>0</v>
      </c>
      <c r="G15" s="30" t="s">
        <v>18</v>
      </c>
      <c r="H15" s="30" t="s">
        <v>18</v>
      </c>
      <c r="I15" s="29">
        <f>F15</f>
        <v>0</v>
      </c>
    </row>
    <row r="16" spans="1:9" x14ac:dyDescent="0.2">
      <c r="A16" s="155" t="s">
        <v>62</v>
      </c>
      <c r="B16" s="156"/>
      <c r="C16" s="156"/>
      <c r="D16" s="156"/>
      <c r="E16" s="157"/>
      <c r="F16" s="29">
        <v>0</v>
      </c>
      <c r="G16" s="30" t="s">
        <v>18</v>
      </c>
      <c r="H16" s="30" t="s">
        <v>18</v>
      </c>
      <c r="I16" s="29">
        <f>F16</f>
        <v>0</v>
      </c>
    </row>
    <row r="17" spans="1:9" x14ac:dyDescent="0.2">
      <c r="A17" s="152" t="s">
        <v>65</v>
      </c>
      <c r="B17" s="153"/>
      <c r="C17" s="153"/>
      <c r="D17" s="153"/>
      <c r="E17" s="154"/>
      <c r="F17" s="31">
        <v>0</v>
      </c>
      <c r="G17" s="32" t="s">
        <v>18</v>
      </c>
      <c r="H17" s="32" t="s">
        <v>18</v>
      </c>
      <c r="I17" s="31">
        <f>F17</f>
        <v>0</v>
      </c>
    </row>
    <row r="18" spans="1:9" x14ac:dyDescent="0.2">
      <c r="A18" s="139" t="s">
        <v>98</v>
      </c>
      <c r="B18" s="140"/>
      <c r="C18" s="140"/>
      <c r="D18" s="140"/>
      <c r="E18" s="141"/>
      <c r="F18" s="33" t="s">
        <v>18</v>
      </c>
      <c r="G18" s="34" t="s">
        <v>18</v>
      </c>
      <c r="H18" s="34" t="s">
        <v>18</v>
      </c>
      <c r="I18" s="35">
        <f>SUM(I15:I17)</f>
        <v>0</v>
      </c>
    </row>
    <row r="20" spans="1:9" x14ac:dyDescent="0.2">
      <c r="A20" s="149" t="s">
        <v>56</v>
      </c>
      <c r="B20" s="150"/>
      <c r="C20" s="150"/>
      <c r="D20" s="150"/>
      <c r="E20" s="151"/>
      <c r="F20" s="28" t="s">
        <v>95</v>
      </c>
      <c r="G20" s="28" t="s">
        <v>96</v>
      </c>
      <c r="H20" s="28" t="s">
        <v>97</v>
      </c>
      <c r="I20" s="28" t="s">
        <v>95</v>
      </c>
    </row>
    <row r="21" spans="1:9" x14ac:dyDescent="0.2">
      <c r="A21" s="155" t="s">
        <v>60</v>
      </c>
      <c r="B21" s="156"/>
      <c r="C21" s="156"/>
      <c r="D21" s="156"/>
      <c r="E21" s="157"/>
      <c r="F21" s="29">
        <v>0</v>
      </c>
      <c r="G21" s="30" t="s">
        <v>18</v>
      </c>
      <c r="H21" s="30" t="s">
        <v>18</v>
      </c>
      <c r="I21" s="29">
        <f t="shared" ref="I21:I26" si="0">F21</f>
        <v>0</v>
      </c>
    </row>
    <row r="22" spans="1:9" x14ac:dyDescent="0.2">
      <c r="A22" s="155" t="s">
        <v>63</v>
      </c>
      <c r="B22" s="156"/>
      <c r="C22" s="156"/>
      <c r="D22" s="156"/>
      <c r="E22" s="157"/>
      <c r="F22" s="29">
        <v>0</v>
      </c>
      <c r="G22" s="30" t="s">
        <v>18</v>
      </c>
      <c r="H22" s="30" t="s">
        <v>18</v>
      </c>
      <c r="I22" s="29">
        <f t="shared" si="0"/>
        <v>0</v>
      </c>
    </row>
    <row r="23" spans="1:9" x14ac:dyDescent="0.2">
      <c r="A23" s="155" t="s">
        <v>66</v>
      </c>
      <c r="B23" s="156"/>
      <c r="C23" s="156"/>
      <c r="D23" s="156"/>
      <c r="E23" s="157"/>
      <c r="F23" s="29">
        <v>0</v>
      </c>
      <c r="G23" s="30" t="s">
        <v>18</v>
      </c>
      <c r="H23" s="30" t="s">
        <v>18</v>
      </c>
      <c r="I23" s="29">
        <f t="shared" si="0"/>
        <v>0</v>
      </c>
    </row>
    <row r="24" spans="1:9" x14ac:dyDescent="0.2">
      <c r="A24" s="155" t="s">
        <v>67</v>
      </c>
      <c r="B24" s="156"/>
      <c r="C24" s="156"/>
      <c r="D24" s="156"/>
      <c r="E24" s="157"/>
      <c r="F24" s="29">
        <v>0</v>
      </c>
      <c r="G24" s="30" t="s">
        <v>18</v>
      </c>
      <c r="H24" s="30" t="s">
        <v>18</v>
      </c>
      <c r="I24" s="29">
        <f t="shared" si="0"/>
        <v>0</v>
      </c>
    </row>
    <row r="25" spans="1:9" x14ac:dyDescent="0.2">
      <c r="A25" s="155" t="s">
        <v>69</v>
      </c>
      <c r="B25" s="156"/>
      <c r="C25" s="156"/>
      <c r="D25" s="156"/>
      <c r="E25" s="157"/>
      <c r="F25" s="29">
        <v>0</v>
      </c>
      <c r="G25" s="30" t="s">
        <v>18</v>
      </c>
      <c r="H25" s="30" t="s">
        <v>18</v>
      </c>
      <c r="I25" s="29">
        <f t="shared" si="0"/>
        <v>0</v>
      </c>
    </row>
    <row r="26" spans="1:9" x14ac:dyDescent="0.2">
      <c r="A26" s="152" t="s">
        <v>70</v>
      </c>
      <c r="B26" s="153"/>
      <c r="C26" s="153"/>
      <c r="D26" s="153"/>
      <c r="E26" s="154"/>
      <c r="F26" s="31">
        <v>0</v>
      </c>
      <c r="G26" s="32" t="s">
        <v>18</v>
      </c>
      <c r="H26" s="32" t="s">
        <v>18</v>
      </c>
      <c r="I26" s="31">
        <f t="shared" si="0"/>
        <v>0</v>
      </c>
    </row>
    <row r="27" spans="1:9" x14ac:dyDescent="0.2">
      <c r="A27" s="139" t="s">
        <v>99</v>
      </c>
      <c r="B27" s="140"/>
      <c r="C27" s="140"/>
      <c r="D27" s="140"/>
      <c r="E27" s="141"/>
      <c r="F27" s="33" t="s">
        <v>18</v>
      </c>
      <c r="G27" s="34" t="s">
        <v>18</v>
      </c>
      <c r="H27" s="34" t="s">
        <v>18</v>
      </c>
      <c r="I27" s="35">
        <f>SUM(I21:I26)</f>
        <v>0</v>
      </c>
    </row>
    <row r="29" spans="1:9" ht="16" x14ac:dyDescent="0.2">
      <c r="A29" s="142" t="s">
        <v>100</v>
      </c>
      <c r="B29" s="143"/>
      <c r="C29" s="143"/>
      <c r="D29" s="143"/>
      <c r="E29" s="144"/>
      <c r="F29" s="145">
        <f>I18+I27</f>
        <v>0</v>
      </c>
      <c r="G29" s="146"/>
      <c r="H29" s="146"/>
      <c r="I29" s="147"/>
    </row>
    <row r="33" spans="1:9" ht="16" x14ac:dyDescent="0.2">
      <c r="A33" s="148" t="s">
        <v>101</v>
      </c>
      <c r="B33" s="148"/>
      <c r="C33" s="148"/>
      <c r="D33" s="148"/>
      <c r="E33" s="148"/>
    </row>
    <row r="34" spans="1:9" x14ac:dyDescent="0.2">
      <c r="A34" s="149" t="s">
        <v>102</v>
      </c>
      <c r="B34" s="150"/>
      <c r="C34" s="150"/>
      <c r="D34" s="150"/>
      <c r="E34" s="151"/>
      <c r="F34" s="28" t="s">
        <v>95</v>
      </c>
      <c r="G34" s="28" t="s">
        <v>96</v>
      </c>
      <c r="H34" s="28" t="s">
        <v>97</v>
      </c>
      <c r="I34" s="28" t="s">
        <v>95</v>
      </c>
    </row>
    <row r="35" spans="1:9" x14ac:dyDescent="0.2">
      <c r="A35" s="152" t="s">
        <v>18</v>
      </c>
      <c r="B35" s="153"/>
      <c r="C35" s="153"/>
      <c r="D35" s="153"/>
      <c r="E35" s="154"/>
      <c r="F35" s="31">
        <v>0</v>
      </c>
      <c r="G35" s="32" t="s">
        <v>18</v>
      </c>
      <c r="H35" s="32" t="s">
        <v>18</v>
      </c>
      <c r="I35" s="31">
        <f>F35</f>
        <v>0</v>
      </c>
    </row>
    <row r="36" spans="1:9" x14ac:dyDescent="0.2">
      <c r="A36" s="139" t="s">
        <v>103</v>
      </c>
      <c r="B36" s="140"/>
      <c r="C36" s="140"/>
      <c r="D36" s="140"/>
      <c r="E36" s="141"/>
      <c r="F36" s="33" t="s">
        <v>18</v>
      </c>
      <c r="G36" s="34" t="s">
        <v>18</v>
      </c>
      <c r="H36" s="34" t="s">
        <v>18</v>
      </c>
      <c r="I36" s="35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72"/>
  <sheetViews>
    <sheetView tabSelected="1" workbookViewId="0">
      <pane ySplit="11" topLeftCell="A24" activePane="bottomLeft" state="frozen"/>
      <selection pane="bottomLeft" activeCell="J9" sqref="J9"/>
    </sheetView>
  </sheetViews>
  <sheetFormatPr baseColWidth="10" defaultColWidth="12.1640625" defaultRowHeight="15" customHeight="1" x14ac:dyDescent="0.2"/>
  <cols>
    <col min="1" max="1" width="3.1640625" customWidth="1"/>
    <col min="2" max="2" width="7.5" customWidth="1"/>
    <col min="3" max="3" width="17.83203125" customWidth="1"/>
    <col min="4" max="4" width="28.5" customWidth="1"/>
    <col min="5" max="5" width="25.5" customWidth="1"/>
    <col min="6" max="6" width="4.33203125" customWidth="1"/>
    <col min="7" max="7" width="12.83203125" customWidth="1"/>
    <col min="8" max="8" width="12" style="61" customWidth="1"/>
    <col min="9" max="9" width="15.6640625" style="61" customWidth="1"/>
    <col min="10" max="10" width="12.1640625" style="61"/>
    <col min="25" max="75" width="12.1640625" hidden="1"/>
    <col min="76" max="76" width="54" hidden="1" customWidth="1"/>
    <col min="77" max="78" width="12.1640625" hidden="1"/>
  </cols>
  <sheetData>
    <row r="1" spans="1:76" ht="54.75" customHeight="1" x14ac:dyDescent="0.2">
      <c r="A1" s="173" t="s">
        <v>104</v>
      </c>
      <c r="B1" s="173"/>
      <c r="C1" s="173"/>
      <c r="D1" s="173"/>
      <c r="E1" s="173"/>
      <c r="F1" s="173"/>
      <c r="G1" s="173"/>
      <c r="H1" s="77"/>
      <c r="I1" s="77"/>
      <c r="J1" s="77"/>
      <c r="K1" s="73"/>
      <c r="AS1" s="36">
        <f>SUM(AJ1:AJ2)</f>
        <v>0</v>
      </c>
      <c r="AT1" s="36">
        <f>SUM(AK1:AK2)</f>
        <v>0</v>
      </c>
      <c r="AU1" s="36">
        <f>SUM(AL1:AL2)</f>
        <v>0</v>
      </c>
    </row>
    <row r="2" spans="1:76" x14ac:dyDescent="0.2">
      <c r="A2" s="92" t="s">
        <v>1</v>
      </c>
      <c r="B2" s="89"/>
      <c r="C2" s="89"/>
      <c r="D2" s="97" t="s">
        <v>105</v>
      </c>
      <c r="E2" s="138"/>
      <c r="F2" s="89" t="s">
        <v>2</v>
      </c>
      <c r="G2" s="89"/>
      <c r="H2" s="168" t="s">
        <v>3</v>
      </c>
      <c r="I2" s="171" t="s">
        <v>4</v>
      </c>
      <c r="J2" s="78" t="s">
        <v>247</v>
      </c>
      <c r="K2" s="74"/>
    </row>
    <row r="3" spans="1:76" x14ac:dyDescent="0.2">
      <c r="A3" s="93"/>
      <c r="B3" s="82"/>
      <c r="C3" s="82"/>
      <c r="D3" s="98"/>
      <c r="E3" s="98"/>
      <c r="F3" s="82"/>
      <c r="G3" s="82"/>
      <c r="H3" s="169"/>
      <c r="I3" s="169"/>
      <c r="J3" s="79" t="s">
        <v>248</v>
      </c>
      <c r="K3" s="75"/>
    </row>
    <row r="4" spans="1:76" x14ac:dyDescent="0.2">
      <c r="A4" s="94" t="s">
        <v>5</v>
      </c>
      <c r="B4" s="82"/>
      <c r="C4" s="82"/>
      <c r="D4" s="87" t="s">
        <v>3</v>
      </c>
      <c r="E4" s="82"/>
      <c r="F4" s="82" t="s">
        <v>6</v>
      </c>
      <c r="G4" s="82"/>
      <c r="H4" s="169"/>
      <c r="I4" s="172" t="s">
        <v>8</v>
      </c>
      <c r="J4" s="79" t="s">
        <v>106</v>
      </c>
      <c r="K4" s="75"/>
    </row>
    <row r="5" spans="1:76" x14ac:dyDescent="0.2">
      <c r="A5" s="93"/>
      <c r="B5" s="82"/>
      <c r="C5" s="82"/>
      <c r="D5" s="82"/>
      <c r="E5" s="82"/>
      <c r="F5" s="82"/>
      <c r="G5" s="82"/>
      <c r="H5" s="169"/>
      <c r="I5" s="169"/>
      <c r="J5" s="79"/>
      <c r="K5" s="75"/>
    </row>
    <row r="6" spans="1:76" x14ac:dyDescent="0.2">
      <c r="A6" s="94" t="s">
        <v>9</v>
      </c>
      <c r="B6" s="82"/>
      <c r="C6" s="82"/>
      <c r="D6" s="87" t="s">
        <v>3</v>
      </c>
      <c r="E6" s="82"/>
      <c r="F6" s="82" t="s">
        <v>10</v>
      </c>
      <c r="G6" s="82"/>
      <c r="H6" s="169" t="s">
        <v>3</v>
      </c>
      <c r="I6" s="172" t="s">
        <v>11</v>
      </c>
      <c r="J6" s="79" t="s">
        <v>106</v>
      </c>
      <c r="K6" s="75"/>
    </row>
    <row r="7" spans="1:76" x14ac:dyDescent="0.2">
      <c r="A7" s="93"/>
      <c r="B7" s="82"/>
      <c r="C7" s="82"/>
      <c r="D7" s="82"/>
      <c r="E7" s="82"/>
      <c r="F7" s="82"/>
      <c r="G7" s="82"/>
      <c r="H7" s="169"/>
      <c r="I7" s="169"/>
      <c r="J7" s="79"/>
      <c r="K7" s="75"/>
    </row>
    <row r="8" spans="1:76" x14ac:dyDescent="0.2">
      <c r="A8" s="94" t="s">
        <v>48</v>
      </c>
      <c r="B8" s="82"/>
      <c r="C8" s="82"/>
      <c r="D8" s="87" t="s">
        <v>3</v>
      </c>
      <c r="E8" s="82"/>
      <c r="F8" s="82" t="s">
        <v>13</v>
      </c>
      <c r="G8" s="82"/>
      <c r="H8" s="169" t="s">
        <v>7</v>
      </c>
      <c r="I8" s="172" t="s">
        <v>12</v>
      </c>
      <c r="J8" s="79" t="s">
        <v>250</v>
      </c>
      <c r="K8" s="75"/>
    </row>
    <row r="9" spans="1:76" x14ac:dyDescent="0.2">
      <c r="A9" s="95"/>
      <c r="B9" s="88"/>
      <c r="C9" s="88"/>
      <c r="D9" s="88"/>
      <c r="E9" s="88"/>
      <c r="F9" s="88"/>
      <c r="G9" s="88"/>
      <c r="H9" s="170"/>
      <c r="I9" s="170"/>
      <c r="J9" s="80"/>
      <c r="K9" s="76"/>
    </row>
    <row r="10" spans="1:76" x14ac:dyDescent="0.2">
      <c r="A10" s="37" t="s">
        <v>107</v>
      </c>
      <c r="B10" s="38" t="s">
        <v>14</v>
      </c>
      <c r="C10" s="38" t="s">
        <v>15</v>
      </c>
      <c r="D10" s="166" t="s">
        <v>16</v>
      </c>
      <c r="E10" s="167"/>
      <c r="F10" s="38" t="s">
        <v>108</v>
      </c>
      <c r="G10" s="39" t="s">
        <v>109</v>
      </c>
      <c r="H10" s="63" t="s">
        <v>110</v>
      </c>
      <c r="I10" s="64" t="s">
        <v>111</v>
      </c>
      <c r="K10" s="40"/>
      <c r="BK10" s="41" t="s">
        <v>112</v>
      </c>
      <c r="BL10" s="42" t="s">
        <v>113</v>
      </c>
      <c r="BW10" s="42" t="s">
        <v>114</v>
      </c>
    </row>
    <row r="11" spans="1:76" x14ac:dyDescent="0.2">
      <c r="A11" s="43" t="s">
        <v>3</v>
      </c>
      <c r="B11" s="44" t="s">
        <v>3</v>
      </c>
      <c r="C11" s="44" t="s">
        <v>3</v>
      </c>
      <c r="D11" s="162" t="s">
        <v>115</v>
      </c>
      <c r="E11" s="163"/>
      <c r="F11" s="44" t="s">
        <v>3</v>
      </c>
      <c r="G11" s="44" t="s">
        <v>3</v>
      </c>
      <c r="H11" s="65" t="s">
        <v>116</v>
      </c>
      <c r="I11" s="66" t="s">
        <v>117</v>
      </c>
      <c r="K11" s="45"/>
      <c r="Z11" s="41" t="s">
        <v>118</v>
      </c>
      <c r="AA11" s="41" t="s">
        <v>119</v>
      </c>
      <c r="AB11" s="41" t="s">
        <v>120</v>
      </c>
      <c r="AC11" s="41" t="s">
        <v>121</v>
      </c>
      <c r="AD11" s="41" t="s">
        <v>122</v>
      </c>
      <c r="AE11" s="41" t="s">
        <v>123</v>
      </c>
      <c r="AF11" s="41" t="s">
        <v>124</v>
      </c>
      <c r="AG11" s="41" t="s">
        <v>125</v>
      </c>
      <c r="AH11" s="41" t="s">
        <v>126</v>
      </c>
      <c r="BH11" s="41" t="s">
        <v>127</v>
      </c>
      <c r="BI11" s="41" t="s">
        <v>128</v>
      </c>
      <c r="BJ11" s="41" t="s">
        <v>129</v>
      </c>
    </row>
    <row r="12" spans="1:76" x14ac:dyDescent="0.2">
      <c r="A12" s="46" t="s">
        <v>18</v>
      </c>
      <c r="B12" s="59" t="s">
        <v>18</v>
      </c>
      <c r="C12" s="59" t="s">
        <v>19</v>
      </c>
      <c r="D12" s="164" t="s">
        <v>20</v>
      </c>
      <c r="E12" s="165"/>
      <c r="F12" s="47" t="s">
        <v>3</v>
      </c>
      <c r="G12" s="47" t="s">
        <v>3</v>
      </c>
      <c r="H12" s="67" t="s">
        <v>3</v>
      </c>
      <c r="I12" s="68">
        <f>SUM(I13:I16)</f>
        <v>0</v>
      </c>
      <c r="K12" s="45"/>
      <c r="AI12" s="41" t="s">
        <v>18</v>
      </c>
      <c r="AS12" s="36">
        <f>SUM(AJ13:AJ16)</f>
        <v>0</v>
      </c>
      <c r="AT12" s="36">
        <f>SUM(AK13:AK16)</f>
        <v>0</v>
      </c>
      <c r="AU12" s="36">
        <f>SUM(AL13:AL16)</f>
        <v>0</v>
      </c>
    </row>
    <row r="13" spans="1:76" x14ac:dyDescent="0.2">
      <c r="A13" s="1" t="s">
        <v>130</v>
      </c>
      <c r="B13" s="2" t="s">
        <v>18</v>
      </c>
      <c r="C13" s="2" t="s">
        <v>131</v>
      </c>
      <c r="D13" s="87" t="s">
        <v>132</v>
      </c>
      <c r="E13" s="82"/>
      <c r="F13" s="2" t="s">
        <v>133</v>
      </c>
      <c r="G13" s="12">
        <v>1</v>
      </c>
      <c r="H13" s="69">
        <v>0</v>
      </c>
      <c r="I13" s="69">
        <f>ROUND(G13*H13,2)</f>
        <v>0</v>
      </c>
      <c r="K13" s="45"/>
      <c r="Z13" s="12">
        <f>ROUND(IF(AQ13="5",BJ13,0),2)</f>
        <v>0</v>
      </c>
      <c r="AB13" s="12">
        <f>ROUND(IF(AQ13="1",BH13,0),2)</f>
        <v>0</v>
      </c>
      <c r="AC13" s="12">
        <f>ROUND(IF(AQ13="1",BI13,0),2)</f>
        <v>0</v>
      </c>
      <c r="AD13" s="12">
        <f>ROUND(IF(AQ13="7",BH13,0),2)</f>
        <v>0</v>
      </c>
      <c r="AE13" s="12">
        <f>ROUND(IF(AQ13="7",BI13,0),2)</f>
        <v>0</v>
      </c>
      <c r="AF13" s="12">
        <f>ROUND(IF(AQ13="2",BH13,0),2)</f>
        <v>0</v>
      </c>
      <c r="AG13" s="12">
        <f>ROUND(IF(AQ13="2",BI13,0),2)</f>
        <v>0</v>
      </c>
      <c r="AH13" s="12">
        <f>ROUND(IF(AQ13="0",BJ13,0),2)</f>
        <v>0</v>
      </c>
      <c r="AI13" s="41" t="s">
        <v>18</v>
      </c>
      <c r="AJ13" s="12">
        <f>IF(AN13=0,I13,0)</f>
        <v>0</v>
      </c>
      <c r="AK13" s="12">
        <f>IF(AN13=12,I13,0)</f>
        <v>0</v>
      </c>
      <c r="AL13" s="12">
        <f>IF(AN13=21,I13,0)</f>
        <v>0</v>
      </c>
      <c r="AN13" s="12">
        <v>21</v>
      </c>
      <c r="AO13" s="12">
        <f>H13*0</f>
        <v>0</v>
      </c>
      <c r="AP13" s="12">
        <f>H13*(1-0)</f>
        <v>0</v>
      </c>
      <c r="AQ13" s="11" t="s">
        <v>130</v>
      </c>
      <c r="AV13" s="12">
        <f>ROUND(AW13+AX13,2)</f>
        <v>0</v>
      </c>
      <c r="AW13" s="12">
        <f>ROUND(G13*AO13,2)</f>
        <v>0</v>
      </c>
      <c r="AX13" s="12">
        <f>ROUND(G13*AP13,2)</f>
        <v>0</v>
      </c>
      <c r="AY13" s="11" t="s">
        <v>134</v>
      </c>
      <c r="AZ13" s="11" t="s">
        <v>135</v>
      </c>
      <c r="BA13" s="41" t="s">
        <v>136</v>
      </c>
      <c r="BC13" s="12">
        <f>AW13+AX13</f>
        <v>0</v>
      </c>
      <c r="BD13" s="12">
        <f>H13/(100-BE13)*100</f>
        <v>0</v>
      </c>
      <c r="BE13" s="12">
        <v>0</v>
      </c>
      <c r="BF13" s="12">
        <f>13</f>
        <v>13</v>
      </c>
      <c r="BH13" s="12">
        <f>G13*AO13</f>
        <v>0</v>
      </c>
      <c r="BI13" s="12">
        <f>G13*AP13</f>
        <v>0</v>
      </c>
      <c r="BJ13" s="12">
        <f>G13*H13</f>
        <v>0</v>
      </c>
      <c r="BK13" s="12"/>
      <c r="BL13" s="12">
        <v>0</v>
      </c>
      <c r="BW13" s="12">
        <v>21</v>
      </c>
      <c r="BX13" s="57" t="s">
        <v>132</v>
      </c>
    </row>
    <row r="14" spans="1:76" x14ac:dyDescent="0.2">
      <c r="A14" s="1" t="s">
        <v>137</v>
      </c>
      <c r="B14" s="2" t="s">
        <v>18</v>
      </c>
      <c r="C14" s="2" t="s">
        <v>138</v>
      </c>
      <c r="D14" s="87" t="s">
        <v>139</v>
      </c>
      <c r="E14" s="82"/>
      <c r="F14" s="2" t="s">
        <v>133</v>
      </c>
      <c r="G14" s="12">
        <v>1</v>
      </c>
      <c r="H14" s="69">
        <v>0</v>
      </c>
      <c r="I14" s="69">
        <f>ROUND(G14*H14,2)</f>
        <v>0</v>
      </c>
      <c r="K14" s="45"/>
      <c r="Z14" s="12">
        <f>ROUND(IF(AQ14="5",BJ14,0),2)</f>
        <v>0</v>
      </c>
      <c r="AB14" s="12">
        <f>ROUND(IF(AQ14="1",BH14,0),2)</f>
        <v>0</v>
      </c>
      <c r="AC14" s="12">
        <f>ROUND(IF(AQ14="1",BI14,0),2)</f>
        <v>0</v>
      </c>
      <c r="AD14" s="12">
        <f>ROUND(IF(AQ14="7",BH14,0),2)</f>
        <v>0</v>
      </c>
      <c r="AE14" s="12">
        <f>ROUND(IF(AQ14="7",BI14,0),2)</f>
        <v>0</v>
      </c>
      <c r="AF14" s="12">
        <f>ROUND(IF(AQ14="2",BH14,0),2)</f>
        <v>0</v>
      </c>
      <c r="AG14" s="12">
        <f>ROUND(IF(AQ14="2",BI14,0),2)</f>
        <v>0</v>
      </c>
      <c r="AH14" s="12">
        <f>ROUND(IF(AQ14="0",BJ14,0),2)</f>
        <v>0</v>
      </c>
      <c r="AI14" s="41" t="s">
        <v>18</v>
      </c>
      <c r="AJ14" s="12">
        <f>IF(AN14=0,I14,0)</f>
        <v>0</v>
      </c>
      <c r="AK14" s="12">
        <f>IF(AN14=12,I14,0)</f>
        <v>0</v>
      </c>
      <c r="AL14" s="12">
        <f>IF(AN14=21,I14,0)</f>
        <v>0</v>
      </c>
      <c r="AN14" s="12">
        <v>21</v>
      </c>
      <c r="AO14" s="12">
        <f>H14*0</f>
        <v>0</v>
      </c>
      <c r="AP14" s="12">
        <f>H14*(1-0)</f>
        <v>0</v>
      </c>
      <c r="AQ14" s="11" t="s">
        <v>130</v>
      </c>
      <c r="AV14" s="12">
        <f>ROUND(AW14+AX14,2)</f>
        <v>0</v>
      </c>
      <c r="AW14" s="12">
        <f>ROUND(G14*AO14,2)</f>
        <v>0</v>
      </c>
      <c r="AX14" s="12">
        <f>ROUND(G14*AP14,2)</f>
        <v>0</v>
      </c>
      <c r="AY14" s="11" t="s">
        <v>134</v>
      </c>
      <c r="AZ14" s="11" t="s">
        <v>135</v>
      </c>
      <c r="BA14" s="41" t="s">
        <v>136</v>
      </c>
      <c r="BC14" s="12">
        <f>AW14+AX14</f>
        <v>0</v>
      </c>
      <c r="BD14" s="12">
        <f>H14/(100-BE14)*100</f>
        <v>0</v>
      </c>
      <c r="BE14" s="12">
        <v>0</v>
      </c>
      <c r="BF14" s="12">
        <f>14</f>
        <v>14</v>
      </c>
      <c r="BH14" s="12">
        <f>G14*AO14</f>
        <v>0</v>
      </c>
      <c r="BI14" s="12">
        <f>G14*AP14</f>
        <v>0</v>
      </c>
      <c r="BJ14" s="12">
        <f>G14*H14</f>
        <v>0</v>
      </c>
      <c r="BK14" s="12"/>
      <c r="BL14" s="12">
        <v>0</v>
      </c>
      <c r="BW14" s="12">
        <v>21</v>
      </c>
      <c r="BX14" s="57" t="s">
        <v>139</v>
      </c>
    </row>
    <row r="15" spans="1:76" x14ac:dyDescent="0.2">
      <c r="A15" s="1" t="s">
        <v>140</v>
      </c>
      <c r="B15" s="2" t="s">
        <v>18</v>
      </c>
      <c r="C15" s="2" t="s">
        <v>141</v>
      </c>
      <c r="D15" s="87" t="s">
        <v>142</v>
      </c>
      <c r="E15" s="82"/>
      <c r="F15" s="2" t="s">
        <v>133</v>
      </c>
      <c r="G15" s="12">
        <v>1</v>
      </c>
      <c r="H15" s="69">
        <v>0</v>
      </c>
      <c r="I15" s="69">
        <f>ROUND(G15*H15,2)</f>
        <v>0</v>
      </c>
      <c r="K15" s="45"/>
      <c r="Z15" s="12">
        <f>ROUND(IF(AQ15="5",BJ15,0),2)</f>
        <v>0</v>
      </c>
      <c r="AB15" s="12">
        <f>ROUND(IF(AQ15="1",BH15,0),2)</f>
        <v>0</v>
      </c>
      <c r="AC15" s="12">
        <f>ROUND(IF(AQ15="1",BI15,0),2)</f>
        <v>0</v>
      </c>
      <c r="AD15" s="12">
        <f>ROUND(IF(AQ15="7",BH15,0),2)</f>
        <v>0</v>
      </c>
      <c r="AE15" s="12">
        <f>ROUND(IF(AQ15="7",BI15,0),2)</f>
        <v>0</v>
      </c>
      <c r="AF15" s="12">
        <f>ROUND(IF(AQ15="2",BH15,0),2)</f>
        <v>0</v>
      </c>
      <c r="AG15" s="12">
        <f>ROUND(IF(AQ15="2",BI15,0),2)</f>
        <v>0</v>
      </c>
      <c r="AH15" s="12">
        <f>ROUND(IF(AQ15="0",BJ15,0),2)</f>
        <v>0</v>
      </c>
      <c r="AI15" s="41" t="s">
        <v>18</v>
      </c>
      <c r="AJ15" s="12">
        <f>IF(AN15=0,I15,0)</f>
        <v>0</v>
      </c>
      <c r="AK15" s="12">
        <f>IF(AN15=12,I15,0)</f>
        <v>0</v>
      </c>
      <c r="AL15" s="12">
        <f>IF(AN15=21,I15,0)</f>
        <v>0</v>
      </c>
      <c r="AN15" s="12">
        <v>21</v>
      </c>
      <c r="AO15" s="12">
        <f>H15*0</f>
        <v>0</v>
      </c>
      <c r="AP15" s="12">
        <f>H15*(1-0)</f>
        <v>0</v>
      </c>
      <c r="AQ15" s="11" t="s">
        <v>130</v>
      </c>
      <c r="AV15" s="12">
        <f>ROUND(AW15+AX15,2)</f>
        <v>0</v>
      </c>
      <c r="AW15" s="12">
        <f>ROUND(G15*AO15,2)</f>
        <v>0</v>
      </c>
      <c r="AX15" s="12">
        <f>ROUND(G15*AP15,2)</f>
        <v>0</v>
      </c>
      <c r="AY15" s="11" t="s">
        <v>134</v>
      </c>
      <c r="AZ15" s="11" t="s">
        <v>135</v>
      </c>
      <c r="BA15" s="41" t="s">
        <v>136</v>
      </c>
      <c r="BC15" s="12">
        <f>AW15+AX15</f>
        <v>0</v>
      </c>
      <c r="BD15" s="12">
        <f>H15/(100-BE15)*100</f>
        <v>0</v>
      </c>
      <c r="BE15" s="12">
        <v>0</v>
      </c>
      <c r="BF15" s="12">
        <f>15</f>
        <v>15</v>
      </c>
      <c r="BH15" s="12">
        <f>G15*AO15</f>
        <v>0</v>
      </c>
      <c r="BI15" s="12">
        <f>G15*AP15</f>
        <v>0</v>
      </c>
      <c r="BJ15" s="12">
        <f>G15*H15</f>
        <v>0</v>
      </c>
      <c r="BK15" s="12"/>
      <c r="BL15" s="12">
        <v>0</v>
      </c>
      <c r="BW15" s="12">
        <v>21</v>
      </c>
      <c r="BX15" s="57" t="s">
        <v>142</v>
      </c>
    </row>
    <row r="16" spans="1:76" x14ac:dyDescent="0.2">
      <c r="A16" s="1" t="s">
        <v>143</v>
      </c>
      <c r="B16" s="2" t="s">
        <v>18</v>
      </c>
      <c r="C16" s="2" t="s">
        <v>144</v>
      </c>
      <c r="D16" s="87" t="s">
        <v>145</v>
      </c>
      <c r="E16" s="82"/>
      <c r="F16" s="2" t="s">
        <v>133</v>
      </c>
      <c r="G16" s="12">
        <v>1</v>
      </c>
      <c r="H16" s="69">
        <v>0</v>
      </c>
      <c r="I16" s="69">
        <f>ROUND(G16*H16,2)</f>
        <v>0</v>
      </c>
      <c r="K16" s="45"/>
      <c r="Z16" s="12">
        <f>ROUND(IF(AQ16="5",BJ16,0),2)</f>
        <v>0</v>
      </c>
      <c r="AB16" s="12">
        <f>ROUND(IF(AQ16="1",BH16,0),2)</f>
        <v>0</v>
      </c>
      <c r="AC16" s="12">
        <f>ROUND(IF(AQ16="1",BI16,0),2)</f>
        <v>0</v>
      </c>
      <c r="AD16" s="12">
        <f>ROUND(IF(AQ16="7",BH16,0),2)</f>
        <v>0</v>
      </c>
      <c r="AE16" s="12">
        <f>ROUND(IF(AQ16="7",BI16,0),2)</f>
        <v>0</v>
      </c>
      <c r="AF16" s="12">
        <f>ROUND(IF(AQ16="2",BH16,0),2)</f>
        <v>0</v>
      </c>
      <c r="AG16" s="12">
        <f>ROUND(IF(AQ16="2",BI16,0),2)</f>
        <v>0</v>
      </c>
      <c r="AH16" s="12">
        <f>ROUND(IF(AQ16="0",BJ16,0),2)</f>
        <v>0</v>
      </c>
      <c r="AI16" s="41" t="s">
        <v>18</v>
      </c>
      <c r="AJ16" s="12">
        <f>IF(AN16=0,I16,0)</f>
        <v>0</v>
      </c>
      <c r="AK16" s="12">
        <f>IF(AN16=12,I16,0)</f>
        <v>0</v>
      </c>
      <c r="AL16" s="12">
        <f>IF(AN16=21,I16,0)</f>
        <v>0</v>
      </c>
      <c r="AN16" s="12">
        <v>21</v>
      </c>
      <c r="AO16" s="12">
        <f>H16*0</f>
        <v>0</v>
      </c>
      <c r="AP16" s="12">
        <f>H16*(1-0)</f>
        <v>0</v>
      </c>
      <c r="AQ16" s="11" t="s">
        <v>130</v>
      </c>
      <c r="AV16" s="12">
        <f>ROUND(AW16+AX16,2)</f>
        <v>0</v>
      </c>
      <c r="AW16" s="12">
        <f>ROUND(G16*AO16,2)</f>
        <v>0</v>
      </c>
      <c r="AX16" s="12">
        <f>ROUND(G16*AP16,2)</f>
        <v>0</v>
      </c>
      <c r="AY16" s="11" t="s">
        <v>134</v>
      </c>
      <c r="AZ16" s="11" t="s">
        <v>135</v>
      </c>
      <c r="BA16" s="41" t="s">
        <v>136</v>
      </c>
      <c r="BC16" s="12">
        <f>AW16+AX16</f>
        <v>0</v>
      </c>
      <c r="BD16" s="12">
        <f>H16/(100-BE16)*100</f>
        <v>0</v>
      </c>
      <c r="BE16" s="12">
        <v>0</v>
      </c>
      <c r="BF16" s="12">
        <f>16</f>
        <v>16</v>
      </c>
      <c r="BH16" s="12">
        <f>G16*AO16</f>
        <v>0</v>
      </c>
      <c r="BI16" s="12">
        <f>G16*AP16</f>
        <v>0</v>
      </c>
      <c r="BJ16" s="12">
        <f>G16*H16</f>
        <v>0</v>
      </c>
      <c r="BK16" s="12"/>
      <c r="BL16" s="12">
        <v>0</v>
      </c>
      <c r="BW16" s="12">
        <v>21</v>
      </c>
      <c r="BX16" s="57" t="s">
        <v>145</v>
      </c>
    </row>
    <row r="17" spans="1:76" x14ac:dyDescent="0.2">
      <c r="A17" s="48" t="s">
        <v>18</v>
      </c>
      <c r="B17" s="60" t="s">
        <v>18</v>
      </c>
      <c r="C17" s="60" t="s">
        <v>22</v>
      </c>
      <c r="D17" s="159" t="s">
        <v>23</v>
      </c>
      <c r="E17" s="160"/>
      <c r="F17" s="49" t="s">
        <v>3</v>
      </c>
      <c r="G17" s="49" t="s">
        <v>3</v>
      </c>
      <c r="H17" s="70" t="s">
        <v>3</v>
      </c>
      <c r="I17" s="62">
        <f>SUM(I18:I24)</f>
        <v>0</v>
      </c>
      <c r="K17" s="45"/>
      <c r="AI17" s="41" t="s">
        <v>18</v>
      </c>
      <c r="AS17" s="36">
        <f>SUM(AJ18:AJ24)</f>
        <v>0</v>
      </c>
      <c r="AT17" s="36">
        <f>SUM(AK18:AK24)</f>
        <v>0</v>
      </c>
      <c r="AU17" s="36">
        <f>SUM(AL18:AL24)</f>
        <v>0</v>
      </c>
    </row>
    <row r="18" spans="1:76" x14ac:dyDescent="0.2">
      <c r="A18" s="1" t="s">
        <v>146</v>
      </c>
      <c r="B18" s="2" t="s">
        <v>18</v>
      </c>
      <c r="C18" s="2" t="s">
        <v>147</v>
      </c>
      <c r="D18" s="87" t="s">
        <v>148</v>
      </c>
      <c r="E18" s="82"/>
      <c r="F18" s="2" t="s">
        <v>149</v>
      </c>
      <c r="G18" s="12">
        <v>806.1</v>
      </c>
      <c r="H18" s="69">
        <v>0</v>
      </c>
      <c r="I18" s="69">
        <f>ROUND(G18*H18,2)</f>
        <v>0</v>
      </c>
      <c r="K18" s="45"/>
      <c r="Z18" s="12">
        <f>ROUND(IF(AQ18="5",BJ18,0),2)</f>
        <v>0</v>
      </c>
      <c r="AB18" s="12">
        <f>ROUND(IF(AQ18="1",BH18,0),2)</f>
        <v>0</v>
      </c>
      <c r="AC18" s="12">
        <f>ROUND(IF(AQ18="1",BI18,0),2)</f>
        <v>0</v>
      </c>
      <c r="AD18" s="12">
        <f>ROUND(IF(AQ18="7",BH18,0),2)</f>
        <v>0</v>
      </c>
      <c r="AE18" s="12">
        <f>ROUND(IF(AQ18="7",BI18,0),2)</f>
        <v>0</v>
      </c>
      <c r="AF18" s="12">
        <f>ROUND(IF(AQ18="2",BH18,0),2)</f>
        <v>0</v>
      </c>
      <c r="AG18" s="12">
        <f>ROUND(IF(AQ18="2",BI18,0),2)</f>
        <v>0</v>
      </c>
      <c r="AH18" s="12">
        <f>ROUND(IF(AQ18="0",BJ18,0),2)</f>
        <v>0</v>
      </c>
      <c r="AI18" s="41" t="s">
        <v>18</v>
      </c>
      <c r="AJ18" s="12">
        <f>IF(AN18=0,I18,0)</f>
        <v>0</v>
      </c>
      <c r="AK18" s="12">
        <f>IF(AN18=12,I18,0)</f>
        <v>0</v>
      </c>
      <c r="AL18" s="12">
        <f>IF(AN18=21,I18,0)</f>
        <v>0</v>
      </c>
      <c r="AN18" s="12">
        <v>21</v>
      </c>
      <c r="AO18" s="12">
        <f>H18*0</f>
        <v>0</v>
      </c>
      <c r="AP18" s="12">
        <f>H18*(1-0)</f>
        <v>0</v>
      </c>
      <c r="AQ18" s="11" t="s">
        <v>130</v>
      </c>
      <c r="AV18" s="12">
        <f>ROUND(AW18+AX18,2)</f>
        <v>0</v>
      </c>
      <c r="AW18" s="12">
        <f>ROUND(G18*AO18,2)</f>
        <v>0</v>
      </c>
      <c r="AX18" s="12">
        <f>ROUND(G18*AP18,2)</f>
        <v>0</v>
      </c>
      <c r="AY18" s="11" t="s">
        <v>150</v>
      </c>
      <c r="AZ18" s="11" t="s">
        <v>151</v>
      </c>
      <c r="BA18" s="41" t="s">
        <v>136</v>
      </c>
      <c r="BC18" s="12">
        <f>AW18+AX18</f>
        <v>0</v>
      </c>
      <c r="BD18" s="12">
        <f>H18/(100-BE18)*100</f>
        <v>0</v>
      </c>
      <c r="BE18" s="12">
        <v>0</v>
      </c>
      <c r="BF18" s="12">
        <f>18</f>
        <v>18</v>
      </c>
      <c r="BH18" s="12">
        <f>G18*AO18</f>
        <v>0</v>
      </c>
      <c r="BI18" s="12">
        <f>G18*AP18</f>
        <v>0</v>
      </c>
      <c r="BJ18" s="12">
        <f>G18*H18</f>
        <v>0</v>
      </c>
      <c r="BK18" s="12"/>
      <c r="BL18" s="12">
        <v>11</v>
      </c>
      <c r="BW18" s="12">
        <v>21</v>
      </c>
      <c r="BX18" s="57" t="s">
        <v>148</v>
      </c>
    </row>
    <row r="19" spans="1:76" x14ac:dyDescent="0.2">
      <c r="A19" s="50"/>
      <c r="D19" s="51" t="s">
        <v>152</v>
      </c>
      <c r="E19" s="51" t="s">
        <v>18</v>
      </c>
      <c r="G19" s="52">
        <v>53.1</v>
      </c>
      <c r="K19" s="45"/>
    </row>
    <row r="20" spans="1:76" x14ac:dyDescent="0.2">
      <c r="A20" s="50"/>
      <c r="D20" s="51" t="s">
        <v>153</v>
      </c>
      <c r="E20" s="51" t="s">
        <v>18</v>
      </c>
      <c r="G20" s="52">
        <v>418</v>
      </c>
      <c r="K20" s="45"/>
    </row>
    <row r="21" spans="1:76" x14ac:dyDescent="0.2">
      <c r="A21" s="50"/>
      <c r="D21" s="51" t="s">
        <v>154</v>
      </c>
      <c r="E21" s="51" t="s">
        <v>18</v>
      </c>
      <c r="G21" s="52">
        <v>10.5</v>
      </c>
      <c r="K21" s="45"/>
    </row>
    <row r="22" spans="1:76" x14ac:dyDescent="0.2">
      <c r="A22" s="50"/>
      <c r="D22" s="51" t="s">
        <v>155</v>
      </c>
      <c r="E22" s="51" t="s">
        <v>18</v>
      </c>
      <c r="G22" s="52">
        <v>240.5</v>
      </c>
      <c r="K22" s="45"/>
    </row>
    <row r="23" spans="1:76" x14ac:dyDescent="0.2">
      <c r="A23" s="50"/>
      <c r="D23" s="51" t="s">
        <v>156</v>
      </c>
      <c r="E23" s="51" t="s">
        <v>18</v>
      </c>
      <c r="G23" s="52">
        <v>84</v>
      </c>
      <c r="K23" s="45"/>
    </row>
    <row r="24" spans="1:76" x14ac:dyDescent="0.2">
      <c r="A24" s="1" t="s">
        <v>157</v>
      </c>
      <c r="B24" s="2" t="s">
        <v>18</v>
      </c>
      <c r="C24" s="2" t="s">
        <v>158</v>
      </c>
      <c r="D24" s="87" t="s">
        <v>159</v>
      </c>
      <c r="E24" s="82"/>
      <c r="F24" s="2" t="s">
        <v>149</v>
      </c>
      <c r="G24" s="12">
        <v>12</v>
      </c>
      <c r="H24" s="69">
        <v>0</v>
      </c>
      <c r="I24" s="69">
        <f>ROUND(G24*H24,2)</f>
        <v>0</v>
      </c>
      <c r="K24" s="45"/>
      <c r="Z24" s="12">
        <f>ROUND(IF(AQ24="5",BJ24,0),2)</f>
        <v>0</v>
      </c>
      <c r="AB24" s="12">
        <f>ROUND(IF(AQ24="1",BH24,0),2)</f>
        <v>0</v>
      </c>
      <c r="AC24" s="12">
        <f>ROUND(IF(AQ24="1",BI24,0),2)</f>
        <v>0</v>
      </c>
      <c r="AD24" s="12">
        <f>ROUND(IF(AQ24="7",BH24,0),2)</f>
        <v>0</v>
      </c>
      <c r="AE24" s="12">
        <f>ROUND(IF(AQ24="7",BI24,0),2)</f>
        <v>0</v>
      </c>
      <c r="AF24" s="12">
        <f>ROUND(IF(AQ24="2",BH24,0),2)</f>
        <v>0</v>
      </c>
      <c r="AG24" s="12">
        <f>ROUND(IF(AQ24="2",BI24,0),2)</f>
        <v>0</v>
      </c>
      <c r="AH24" s="12">
        <f>ROUND(IF(AQ24="0",BJ24,0),2)</f>
        <v>0</v>
      </c>
      <c r="AI24" s="41" t="s">
        <v>18</v>
      </c>
      <c r="AJ24" s="12">
        <f>IF(AN24=0,I24,0)</f>
        <v>0</v>
      </c>
      <c r="AK24" s="12">
        <f>IF(AN24=12,I24,0)</f>
        <v>0</v>
      </c>
      <c r="AL24" s="12">
        <f>IF(AN24=21,I24,0)</f>
        <v>0</v>
      </c>
      <c r="AN24" s="12">
        <v>21</v>
      </c>
      <c r="AO24" s="12">
        <f>H24*0</f>
        <v>0</v>
      </c>
      <c r="AP24" s="12">
        <f>H24*(1-0)</f>
        <v>0</v>
      </c>
      <c r="AQ24" s="11" t="s">
        <v>130</v>
      </c>
      <c r="AV24" s="12">
        <f>ROUND(AW24+AX24,2)</f>
        <v>0</v>
      </c>
      <c r="AW24" s="12">
        <f>ROUND(G24*AO24,2)</f>
        <v>0</v>
      </c>
      <c r="AX24" s="12">
        <f>ROUND(G24*AP24,2)</f>
        <v>0</v>
      </c>
      <c r="AY24" s="11" t="s">
        <v>150</v>
      </c>
      <c r="AZ24" s="11" t="s">
        <v>151</v>
      </c>
      <c r="BA24" s="41" t="s">
        <v>136</v>
      </c>
      <c r="BC24" s="12">
        <f>AW24+AX24</f>
        <v>0</v>
      </c>
      <c r="BD24" s="12">
        <f>H24/(100-BE24)*100</f>
        <v>0</v>
      </c>
      <c r="BE24" s="12">
        <v>0</v>
      </c>
      <c r="BF24" s="12">
        <f>24</f>
        <v>24</v>
      </c>
      <c r="BH24" s="12">
        <f>G24*AO24</f>
        <v>0</v>
      </c>
      <c r="BI24" s="12">
        <f>G24*AP24</f>
        <v>0</v>
      </c>
      <c r="BJ24" s="12">
        <f>G24*H24</f>
        <v>0</v>
      </c>
      <c r="BK24" s="12"/>
      <c r="BL24" s="12">
        <v>11</v>
      </c>
      <c r="BW24" s="12">
        <v>21</v>
      </c>
      <c r="BX24" s="57" t="s">
        <v>159</v>
      </c>
    </row>
    <row r="25" spans="1:76" x14ac:dyDescent="0.2">
      <c r="A25" s="50"/>
      <c r="D25" s="51" t="s">
        <v>160</v>
      </c>
      <c r="E25" s="51" t="s">
        <v>18</v>
      </c>
      <c r="G25" s="52">
        <v>0</v>
      </c>
      <c r="K25" s="45"/>
    </row>
    <row r="26" spans="1:76" x14ac:dyDescent="0.2">
      <c r="A26" s="50"/>
      <c r="D26" s="51" t="s">
        <v>161</v>
      </c>
      <c r="E26" s="51" t="s">
        <v>18</v>
      </c>
      <c r="G26" s="52">
        <v>12</v>
      </c>
      <c r="K26" s="45"/>
    </row>
    <row r="27" spans="1:76" x14ac:dyDescent="0.2">
      <c r="A27" s="48" t="s">
        <v>18</v>
      </c>
      <c r="B27" s="60" t="s">
        <v>18</v>
      </c>
      <c r="C27" s="60" t="s">
        <v>24</v>
      </c>
      <c r="D27" s="159" t="s">
        <v>25</v>
      </c>
      <c r="E27" s="160"/>
      <c r="F27" s="49" t="s">
        <v>3</v>
      </c>
      <c r="G27" s="49" t="s">
        <v>3</v>
      </c>
      <c r="H27" s="70" t="s">
        <v>3</v>
      </c>
      <c r="I27" s="62">
        <f>SUM(I28:I28)</f>
        <v>0</v>
      </c>
      <c r="K27" s="45"/>
      <c r="AI27" s="41" t="s">
        <v>18</v>
      </c>
      <c r="AS27" s="36">
        <f>SUM(AJ28:AJ28)</f>
        <v>0</v>
      </c>
      <c r="AT27" s="36">
        <f>SUM(AK28:AK28)</f>
        <v>0</v>
      </c>
      <c r="AU27" s="36">
        <f>SUM(AL28:AL28)</f>
        <v>0</v>
      </c>
    </row>
    <row r="28" spans="1:76" x14ac:dyDescent="0.2">
      <c r="A28" s="1" t="s">
        <v>162</v>
      </c>
      <c r="B28" s="2" t="s">
        <v>18</v>
      </c>
      <c r="C28" s="2" t="s">
        <v>163</v>
      </c>
      <c r="D28" s="87" t="s">
        <v>164</v>
      </c>
      <c r="E28" s="82"/>
      <c r="F28" s="2" t="s">
        <v>165</v>
      </c>
      <c r="G28" s="12">
        <v>9.6</v>
      </c>
      <c r="H28" s="69">
        <v>0</v>
      </c>
      <c r="I28" s="69">
        <f>ROUND(G28*H28,2)</f>
        <v>0</v>
      </c>
      <c r="K28" s="45"/>
      <c r="Z28" s="12">
        <f>ROUND(IF(AQ28="5",BJ28,0),2)</f>
        <v>0</v>
      </c>
      <c r="AB28" s="12">
        <f>ROUND(IF(AQ28="1",BH28,0),2)</f>
        <v>0</v>
      </c>
      <c r="AC28" s="12">
        <f>ROUND(IF(AQ28="1",BI28,0),2)</f>
        <v>0</v>
      </c>
      <c r="AD28" s="12">
        <f>ROUND(IF(AQ28="7",BH28,0),2)</f>
        <v>0</v>
      </c>
      <c r="AE28" s="12">
        <f>ROUND(IF(AQ28="7",BI28,0),2)</f>
        <v>0</v>
      </c>
      <c r="AF28" s="12">
        <f>ROUND(IF(AQ28="2",BH28,0),2)</f>
        <v>0</v>
      </c>
      <c r="AG28" s="12">
        <f>ROUND(IF(AQ28="2",BI28,0),2)</f>
        <v>0</v>
      </c>
      <c r="AH28" s="12">
        <f>ROUND(IF(AQ28="0",BJ28,0),2)</f>
        <v>0</v>
      </c>
      <c r="AI28" s="41" t="s">
        <v>18</v>
      </c>
      <c r="AJ28" s="12">
        <f>IF(AN28=0,I28,0)</f>
        <v>0</v>
      </c>
      <c r="AK28" s="12">
        <f>IF(AN28=12,I28,0)</f>
        <v>0</v>
      </c>
      <c r="AL28" s="12">
        <f>IF(AN28=21,I28,0)</f>
        <v>0</v>
      </c>
      <c r="AN28" s="12">
        <v>21</v>
      </c>
      <c r="AO28" s="12">
        <f>H28*0</f>
        <v>0</v>
      </c>
      <c r="AP28" s="12">
        <f>H28*(1-0)</f>
        <v>0</v>
      </c>
      <c r="AQ28" s="11" t="s">
        <v>130</v>
      </c>
      <c r="AV28" s="12">
        <f>ROUND(AW28+AX28,2)</f>
        <v>0</v>
      </c>
      <c r="AW28" s="12">
        <f>ROUND(G28*AO28,2)</f>
        <v>0</v>
      </c>
      <c r="AX28" s="12">
        <f>ROUND(G28*AP28,2)</f>
        <v>0</v>
      </c>
      <c r="AY28" s="11" t="s">
        <v>166</v>
      </c>
      <c r="AZ28" s="11" t="s">
        <v>151</v>
      </c>
      <c r="BA28" s="41" t="s">
        <v>136</v>
      </c>
      <c r="BC28" s="12">
        <f>AW28+AX28</f>
        <v>0</v>
      </c>
      <c r="BD28" s="12">
        <f>H28/(100-BE28)*100</f>
        <v>0</v>
      </c>
      <c r="BE28" s="12">
        <v>0</v>
      </c>
      <c r="BF28" s="12">
        <f>28</f>
        <v>28</v>
      </c>
      <c r="BH28" s="12">
        <f>G28*AO28</f>
        <v>0</v>
      </c>
      <c r="BI28" s="12">
        <f>G28*AP28</f>
        <v>0</v>
      </c>
      <c r="BJ28" s="12">
        <f>G28*H28</f>
        <v>0</v>
      </c>
      <c r="BK28" s="12"/>
      <c r="BL28" s="12">
        <v>13</v>
      </c>
      <c r="BW28" s="12">
        <v>21</v>
      </c>
      <c r="BX28" s="57" t="s">
        <v>164</v>
      </c>
    </row>
    <row r="29" spans="1:76" x14ac:dyDescent="0.2">
      <c r="A29" s="50"/>
      <c r="D29" s="51" t="s">
        <v>167</v>
      </c>
      <c r="E29" s="51" t="s">
        <v>18</v>
      </c>
      <c r="G29" s="52">
        <v>0</v>
      </c>
      <c r="K29" s="45"/>
    </row>
    <row r="30" spans="1:76" x14ac:dyDescent="0.2">
      <c r="A30" s="50"/>
      <c r="D30" s="51" t="s">
        <v>168</v>
      </c>
      <c r="E30" s="51" t="s">
        <v>18</v>
      </c>
      <c r="G30" s="52">
        <v>9.6</v>
      </c>
      <c r="K30" s="45"/>
    </row>
    <row r="31" spans="1:76" x14ac:dyDescent="0.2">
      <c r="A31" s="48" t="s">
        <v>18</v>
      </c>
      <c r="B31" s="60" t="s">
        <v>18</v>
      </c>
      <c r="C31" s="60" t="s">
        <v>26</v>
      </c>
      <c r="D31" s="159" t="s">
        <v>27</v>
      </c>
      <c r="E31" s="160"/>
      <c r="F31" s="49" t="s">
        <v>3</v>
      </c>
      <c r="G31" s="49" t="s">
        <v>3</v>
      </c>
      <c r="H31" s="70" t="s">
        <v>3</v>
      </c>
      <c r="I31" s="62">
        <f>SUM(I32:I34)</f>
        <v>0</v>
      </c>
      <c r="K31" s="45"/>
      <c r="AI31" s="41" t="s">
        <v>18</v>
      </c>
      <c r="AS31" s="36">
        <f>SUM(AJ32:AJ34)</f>
        <v>0</v>
      </c>
      <c r="AT31" s="36">
        <f>SUM(AK32:AK34)</f>
        <v>0</v>
      </c>
      <c r="AU31" s="36">
        <f>SUM(AL32:AL34)</f>
        <v>0</v>
      </c>
    </row>
    <row r="32" spans="1:76" x14ac:dyDescent="0.2">
      <c r="A32" s="1" t="s">
        <v>169</v>
      </c>
      <c r="B32" s="2" t="s">
        <v>18</v>
      </c>
      <c r="C32" s="2" t="s">
        <v>170</v>
      </c>
      <c r="D32" s="87" t="s">
        <v>171</v>
      </c>
      <c r="E32" s="82"/>
      <c r="F32" s="2" t="s">
        <v>165</v>
      </c>
      <c r="G32" s="12">
        <v>12.2</v>
      </c>
      <c r="H32" s="69">
        <v>0</v>
      </c>
      <c r="I32" s="69">
        <f>ROUND(G32*H32,2)</f>
        <v>0</v>
      </c>
      <c r="K32" s="45"/>
      <c r="Z32" s="12">
        <f>ROUND(IF(AQ32="5",BJ32,0),2)</f>
        <v>0</v>
      </c>
      <c r="AB32" s="12">
        <f>ROUND(IF(AQ32="1",BH32,0),2)</f>
        <v>0</v>
      </c>
      <c r="AC32" s="12">
        <f>ROUND(IF(AQ32="1",BI32,0),2)</f>
        <v>0</v>
      </c>
      <c r="AD32" s="12">
        <f>ROUND(IF(AQ32="7",BH32,0),2)</f>
        <v>0</v>
      </c>
      <c r="AE32" s="12">
        <f>ROUND(IF(AQ32="7",BI32,0),2)</f>
        <v>0</v>
      </c>
      <c r="AF32" s="12">
        <f>ROUND(IF(AQ32="2",BH32,0),2)</f>
        <v>0</v>
      </c>
      <c r="AG32" s="12">
        <f>ROUND(IF(AQ32="2",BI32,0),2)</f>
        <v>0</v>
      </c>
      <c r="AH32" s="12">
        <f>ROUND(IF(AQ32="0",BJ32,0),2)</f>
        <v>0</v>
      </c>
      <c r="AI32" s="41" t="s">
        <v>18</v>
      </c>
      <c r="AJ32" s="12">
        <f>IF(AN32=0,I32,0)</f>
        <v>0</v>
      </c>
      <c r="AK32" s="12">
        <f>IF(AN32=12,I32,0)</f>
        <v>0</v>
      </c>
      <c r="AL32" s="12">
        <f>IF(AN32=21,I32,0)</f>
        <v>0</v>
      </c>
      <c r="AN32" s="12">
        <v>21</v>
      </c>
      <c r="AO32" s="12">
        <f>H32*0</f>
        <v>0</v>
      </c>
      <c r="AP32" s="12">
        <f>H32*(1-0)</f>
        <v>0</v>
      </c>
      <c r="AQ32" s="11" t="s">
        <v>130</v>
      </c>
      <c r="AV32" s="12">
        <f>ROUND(AW32+AX32,2)</f>
        <v>0</v>
      </c>
      <c r="AW32" s="12">
        <f>ROUND(G32*AO32,2)</f>
        <v>0</v>
      </c>
      <c r="AX32" s="12">
        <f>ROUND(G32*AP32,2)</f>
        <v>0</v>
      </c>
      <c r="AY32" s="11" t="s">
        <v>172</v>
      </c>
      <c r="AZ32" s="11" t="s">
        <v>151</v>
      </c>
      <c r="BA32" s="41" t="s">
        <v>136</v>
      </c>
      <c r="BC32" s="12">
        <f>AW32+AX32</f>
        <v>0</v>
      </c>
      <c r="BD32" s="12">
        <f>H32/(100-BE32)*100</f>
        <v>0</v>
      </c>
      <c r="BE32" s="12">
        <v>0</v>
      </c>
      <c r="BF32" s="12">
        <f>32</f>
        <v>32</v>
      </c>
      <c r="BH32" s="12">
        <f>G32*AO32</f>
        <v>0</v>
      </c>
      <c r="BI32" s="12">
        <f>G32*AP32</f>
        <v>0</v>
      </c>
      <c r="BJ32" s="12">
        <f>G32*H32</f>
        <v>0</v>
      </c>
      <c r="BK32" s="12"/>
      <c r="BL32" s="12">
        <v>16</v>
      </c>
      <c r="BW32" s="12">
        <v>21</v>
      </c>
      <c r="BX32" s="57" t="s">
        <v>171</v>
      </c>
    </row>
    <row r="33" spans="1:76" x14ac:dyDescent="0.2">
      <c r="A33" s="50"/>
      <c r="D33" s="51" t="s">
        <v>173</v>
      </c>
      <c r="E33" s="51" t="s">
        <v>18</v>
      </c>
      <c r="G33" s="52">
        <v>12.2</v>
      </c>
      <c r="K33" s="45"/>
    </row>
    <row r="34" spans="1:76" x14ac:dyDescent="0.2">
      <c r="A34" s="1" t="s">
        <v>174</v>
      </c>
      <c r="B34" s="2" t="s">
        <v>18</v>
      </c>
      <c r="C34" s="2" t="s">
        <v>175</v>
      </c>
      <c r="D34" s="87" t="s">
        <v>176</v>
      </c>
      <c r="E34" s="82"/>
      <c r="F34" s="2" t="s">
        <v>165</v>
      </c>
      <c r="G34" s="12">
        <v>73.2</v>
      </c>
      <c r="H34" s="69">
        <v>0</v>
      </c>
      <c r="I34" s="69">
        <f>ROUND(G34*H34,2)</f>
        <v>0</v>
      </c>
      <c r="K34" s="45"/>
      <c r="Z34" s="12">
        <f>ROUND(IF(AQ34="5",BJ34,0),2)</f>
        <v>0</v>
      </c>
      <c r="AB34" s="12">
        <f>ROUND(IF(AQ34="1",BH34,0),2)</f>
        <v>0</v>
      </c>
      <c r="AC34" s="12">
        <f>ROUND(IF(AQ34="1",BI34,0),2)</f>
        <v>0</v>
      </c>
      <c r="AD34" s="12">
        <f>ROUND(IF(AQ34="7",BH34,0),2)</f>
        <v>0</v>
      </c>
      <c r="AE34" s="12">
        <f>ROUND(IF(AQ34="7",BI34,0),2)</f>
        <v>0</v>
      </c>
      <c r="AF34" s="12">
        <f>ROUND(IF(AQ34="2",BH34,0),2)</f>
        <v>0</v>
      </c>
      <c r="AG34" s="12">
        <f>ROUND(IF(AQ34="2",BI34,0),2)</f>
        <v>0</v>
      </c>
      <c r="AH34" s="12">
        <f>ROUND(IF(AQ34="0",BJ34,0),2)</f>
        <v>0</v>
      </c>
      <c r="AI34" s="41" t="s">
        <v>18</v>
      </c>
      <c r="AJ34" s="12">
        <f>IF(AN34=0,I34,0)</f>
        <v>0</v>
      </c>
      <c r="AK34" s="12">
        <f>IF(AN34=12,I34,0)</f>
        <v>0</v>
      </c>
      <c r="AL34" s="12">
        <f>IF(AN34=21,I34,0)</f>
        <v>0</v>
      </c>
      <c r="AN34" s="12">
        <v>21</v>
      </c>
      <c r="AO34" s="12">
        <f>H34*0</f>
        <v>0</v>
      </c>
      <c r="AP34" s="12">
        <f>H34*(1-0)</f>
        <v>0</v>
      </c>
      <c r="AQ34" s="11" t="s">
        <v>130</v>
      </c>
      <c r="AV34" s="12">
        <f>ROUND(AW34+AX34,2)</f>
        <v>0</v>
      </c>
      <c r="AW34" s="12">
        <f>ROUND(G34*AO34,2)</f>
        <v>0</v>
      </c>
      <c r="AX34" s="12">
        <f>ROUND(G34*AP34,2)</f>
        <v>0</v>
      </c>
      <c r="AY34" s="11" t="s">
        <v>172</v>
      </c>
      <c r="AZ34" s="11" t="s">
        <v>151</v>
      </c>
      <c r="BA34" s="41" t="s">
        <v>136</v>
      </c>
      <c r="BC34" s="12">
        <f>AW34+AX34</f>
        <v>0</v>
      </c>
      <c r="BD34" s="12">
        <f>H34/(100-BE34)*100</f>
        <v>0</v>
      </c>
      <c r="BE34" s="12">
        <v>0</v>
      </c>
      <c r="BF34" s="12">
        <f>34</f>
        <v>34</v>
      </c>
      <c r="BH34" s="12">
        <f>G34*AO34</f>
        <v>0</v>
      </c>
      <c r="BI34" s="12">
        <f>G34*AP34</f>
        <v>0</v>
      </c>
      <c r="BJ34" s="12">
        <f>G34*H34</f>
        <v>0</v>
      </c>
      <c r="BK34" s="12"/>
      <c r="BL34" s="12">
        <v>16</v>
      </c>
      <c r="BW34" s="12">
        <v>21</v>
      </c>
      <c r="BX34" s="57" t="s">
        <v>176</v>
      </c>
    </row>
    <row r="35" spans="1:76" x14ac:dyDescent="0.2">
      <c r="A35" s="50"/>
      <c r="D35" s="51" t="s">
        <v>177</v>
      </c>
      <c r="E35" s="51" t="s">
        <v>18</v>
      </c>
      <c r="G35" s="52">
        <v>73.2</v>
      </c>
      <c r="K35" s="45"/>
    </row>
    <row r="36" spans="1:76" x14ac:dyDescent="0.2">
      <c r="A36" s="48" t="s">
        <v>18</v>
      </c>
      <c r="B36" s="60" t="s">
        <v>18</v>
      </c>
      <c r="C36" s="60" t="s">
        <v>28</v>
      </c>
      <c r="D36" s="159" t="s">
        <v>29</v>
      </c>
      <c r="E36" s="160"/>
      <c r="F36" s="49" t="s">
        <v>3</v>
      </c>
      <c r="G36" s="49" t="s">
        <v>3</v>
      </c>
      <c r="H36" s="70" t="s">
        <v>3</v>
      </c>
      <c r="I36" s="62">
        <f>SUM(I37:I37)</f>
        <v>0</v>
      </c>
      <c r="K36" s="45"/>
      <c r="AI36" s="41" t="s">
        <v>18</v>
      </c>
      <c r="AS36" s="36">
        <f>SUM(AJ37:AJ37)</f>
        <v>0</v>
      </c>
      <c r="AT36" s="36">
        <f>SUM(AK37:AK37)</f>
        <v>0</v>
      </c>
      <c r="AU36" s="36">
        <f>SUM(AL37:AL37)</f>
        <v>0</v>
      </c>
    </row>
    <row r="37" spans="1:76" x14ac:dyDescent="0.2">
      <c r="A37" s="1" t="s">
        <v>178</v>
      </c>
      <c r="B37" s="2" t="s">
        <v>18</v>
      </c>
      <c r="C37" s="2" t="s">
        <v>179</v>
      </c>
      <c r="D37" s="87" t="s">
        <v>180</v>
      </c>
      <c r="E37" s="82"/>
      <c r="F37" s="2" t="s">
        <v>165</v>
      </c>
      <c r="G37" s="12">
        <v>12.2</v>
      </c>
      <c r="H37" s="69">
        <v>0</v>
      </c>
      <c r="I37" s="69">
        <f>ROUND(G37*H37,2)</f>
        <v>0</v>
      </c>
      <c r="K37" s="45"/>
      <c r="Z37" s="12">
        <f>ROUND(IF(AQ37="5",BJ37,0),2)</f>
        <v>0</v>
      </c>
      <c r="AB37" s="12">
        <f>ROUND(IF(AQ37="1",BH37,0),2)</f>
        <v>0</v>
      </c>
      <c r="AC37" s="12">
        <f>ROUND(IF(AQ37="1",BI37,0),2)</f>
        <v>0</v>
      </c>
      <c r="AD37" s="12">
        <f>ROUND(IF(AQ37="7",BH37,0),2)</f>
        <v>0</v>
      </c>
      <c r="AE37" s="12">
        <f>ROUND(IF(AQ37="7",BI37,0),2)</f>
        <v>0</v>
      </c>
      <c r="AF37" s="12">
        <f>ROUND(IF(AQ37="2",BH37,0),2)</f>
        <v>0</v>
      </c>
      <c r="AG37" s="12">
        <f>ROUND(IF(AQ37="2",BI37,0),2)</f>
        <v>0</v>
      </c>
      <c r="AH37" s="12">
        <f>ROUND(IF(AQ37="0",BJ37,0),2)</f>
        <v>0</v>
      </c>
      <c r="AI37" s="41" t="s">
        <v>18</v>
      </c>
      <c r="AJ37" s="12">
        <f>IF(AN37=0,I37,0)</f>
        <v>0</v>
      </c>
      <c r="AK37" s="12">
        <f>IF(AN37=12,I37,0)</f>
        <v>0</v>
      </c>
      <c r="AL37" s="12">
        <f>IF(AN37=21,I37,0)</f>
        <v>0</v>
      </c>
      <c r="AN37" s="12">
        <v>21</v>
      </c>
      <c r="AO37" s="12">
        <f>H37*0</f>
        <v>0</v>
      </c>
      <c r="AP37" s="12">
        <f>H37*(1-0)</f>
        <v>0</v>
      </c>
      <c r="AQ37" s="11" t="s">
        <v>130</v>
      </c>
      <c r="AV37" s="12">
        <f>ROUND(AW37+AX37,2)</f>
        <v>0</v>
      </c>
      <c r="AW37" s="12">
        <f>ROUND(G37*AO37,2)</f>
        <v>0</v>
      </c>
      <c r="AX37" s="12">
        <f>ROUND(G37*AP37,2)</f>
        <v>0</v>
      </c>
      <c r="AY37" s="11" t="s">
        <v>181</v>
      </c>
      <c r="AZ37" s="11" t="s">
        <v>151</v>
      </c>
      <c r="BA37" s="41" t="s">
        <v>136</v>
      </c>
      <c r="BC37" s="12">
        <f>AW37+AX37</f>
        <v>0</v>
      </c>
      <c r="BD37" s="12">
        <f>H37/(100-BE37)*100</f>
        <v>0</v>
      </c>
      <c r="BE37" s="12">
        <v>0</v>
      </c>
      <c r="BF37" s="12">
        <f>37</f>
        <v>37</v>
      </c>
      <c r="BH37" s="12">
        <f>G37*AO37</f>
        <v>0</v>
      </c>
      <c r="BI37" s="12">
        <f>G37*AP37</f>
        <v>0</v>
      </c>
      <c r="BJ37" s="12">
        <f>G37*H37</f>
        <v>0</v>
      </c>
      <c r="BK37" s="12"/>
      <c r="BL37" s="12">
        <v>19</v>
      </c>
      <c r="BW37" s="12">
        <v>21</v>
      </c>
      <c r="BX37" s="57" t="s">
        <v>180</v>
      </c>
    </row>
    <row r="38" spans="1:76" x14ac:dyDescent="0.2">
      <c r="A38" s="50"/>
      <c r="D38" s="51" t="s">
        <v>182</v>
      </c>
      <c r="E38" s="51" t="s">
        <v>18</v>
      </c>
      <c r="G38" s="52">
        <v>9.6</v>
      </c>
      <c r="K38" s="45"/>
    </row>
    <row r="39" spans="1:76" x14ac:dyDescent="0.2">
      <c r="A39" s="50"/>
      <c r="D39" s="51" t="s">
        <v>183</v>
      </c>
      <c r="E39" s="51" t="s">
        <v>18</v>
      </c>
      <c r="G39" s="52">
        <v>0</v>
      </c>
      <c r="K39" s="45"/>
    </row>
    <row r="40" spans="1:76" x14ac:dyDescent="0.2">
      <c r="A40" s="50"/>
      <c r="D40" s="51" t="s">
        <v>184</v>
      </c>
      <c r="E40" s="51" t="s">
        <v>18</v>
      </c>
      <c r="G40" s="52">
        <v>2.6</v>
      </c>
      <c r="K40" s="45"/>
    </row>
    <row r="41" spans="1:76" x14ac:dyDescent="0.2">
      <c r="A41" s="48" t="s">
        <v>18</v>
      </c>
      <c r="B41" s="60" t="s">
        <v>18</v>
      </c>
      <c r="C41" s="60" t="s">
        <v>30</v>
      </c>
      <c r="D41" s="159" t="s">
        <v>31</v>
      </c>
      <c r="E41" s="160"/>
      <c r="F41" s="49" t="s">
        <v>3</v>
      </c>
      <c r="G41" s="49" t="s">
        <v>3</v>
      </c>
      <c r="H41" s="70" t="s">
        <v>3</v>
      </c>
      <c r="I41" s="62">
        <f>SUM(I42:I42)</f>
        <v>0</v>
      </c>
      <c r="K41" s="45"/>
      <c r="AI41" s="41" t="s">
        <v>18</v>
      </c>
      <c r="AS41" s="36">
        <f>SUM(AJ42:AJ42)</f>
        <v>0</v>
      </c>
      <c r="AT41" s="36">
        <f>SUM(AK42:AK42)</f>
        <v>0</v>
      </c>
      <c r="AU41" s="36">
        <f>SUM(AL42:AL42)</f>
        <v>0</v>
      </c>
    </row>
    <row r="42" spans="1:76" x14ac:dyDescent="0.2">
      <c r="A42" s="1" t="s">
        <v>22</v>
      </c>
      <c r="B42" s="2" t="s">
        <v>18</v>
      </c>
      <c r="C42" s="2" t="s">
        <v>185</v>
      </c>
      <c r="D42" s="87" t="s">
        <v>186</v>
      </c>
      <c r="E42" s="82"/>
      <c r="F42" s="2" t="s">
        <v>187</v>
      </c>
      <c r="G42" s="12">
        <v>32</v>
      </c>
      <c r="H42" s="69">
        <v>0</v>
      </c>
      <c r="I42" s="69">
        <f>ROUND(G42*H42,2)</f>
        <v>0</v>
      </c>
      <c r="K42" s="45"/>
      <c r="Z42" s="12">
        <f>ROUND(IF(AQ42="5",BJ42,0),2)</f>
        <v>0</v>
      </c>
      <c r="AB42" s="12">
        <f>ROUND(IF(AQ42="1",BH42,0),2)</f>
        <v>0</v>
      </c>
      <c r="AC42" s="12">
        <f>ROUND(IF(AQ42="1",BI42,0),2)</f>
        <v>0</v>
      </c>
      <c r="AD42" s="12">
        <f>ROUND(IF(AQ42="7",BH42,0),2)</f>
        <v>0</v>
      </c>
      <c r="AE42" s="12">
        <f>ROUND(IF(AQ42="7",BI42,0),2)</f>
        <v>0</v>
      </c>
      <c r="AF42" s="12">
        <f>ROUND(IF(AQ42="2",BH42,0),2)</f>
        <v>0</v>
      </c>
      <c r="AG42" s="12">
        <f>ROUND(IF(AQ42="2",BI42,0),2)</f>
        <v>0</v>
      </c>
      <c r="AH42" s="12">
        <f>ROUND(IF(AQ42="0",BJ42,0),2)</f>
        <v>0</v>
      </c>
      <c r="AI42" s="41" t="s">
        <v>18</v>
      </c>
      <c r="AJ42" s="12">
        <f>IF(AN42=0,I42,0)</f>
        <v>0</v>
      </c>
      <c r="AK42" s="12">
        <f>IF(AN42=12,I42,0)</f>
        <v>0</v>
      </c>
      <c r="AL42" s="12">
        <f>IF(AN42=21,I42,0)</f>
        <v>0</v>
      </c>
      <c r="AN42" s="12">
        <v>21</v>
      </c>
      <c r="AO42" s="12">
        <f>H42*0.623166295</f>
        <v>0</v>
      </c>
      <c r="AP42" s="12">
        <f>H42*(1-0.623166295)</f>
        <v>0</v>
      </c>
      <c r="AQ42" s="11" t="s">
        <v>130</v>
      </c>
      <c r="AV42" s="12">
        <f>ROUND(AW42+AX42,2)</f>
        <v>0</v>
      </c>
      <c r="AW42" s="12">
        <f>ROUND(G42*AO42,2)</f>
        <v>0</v>
      </c>
      <c r="AX42" s="12">
        <f>ROUND(G42*AP42,2)</f>
        <v>0</v>
      </c>
      <c r="AY42" s="11" t="s">
        <v>188</v>
      </c>
      <c r="AZ42" s="11" t="s">
        <v>189</v>
      </c>
      <c r="BA42" s="41" t="s">
        <v>136</v>
      </c>
      <c r="BC42" s="12">
        <f>AW42+AX42</f>
        <v>0</v>
      </c>
      <c r="BD42" s="12">
        <f>H42/(100-BE42)*100</f>
        <v>0</v>
      </c>
      <c r="BE42" s="12">
        <v>0</v>
      </c>
      <c r="BF42" s="12">
        <f>42</f>
        <v>42</v>
      </c>
      <c r="BH42" s="12">
        <f>G42*AO42</f>
        <v>0</v>
      </c>
      <c r="BI42" s="12">
        <f>G42*AP42</f>
        <v>0</v>
      </c>
      <c r="BJ42" s="12">
        <f>G42*H42</f>
        <v>0</v>
      </c>
      <c r="BK42" s="12"/>
      <c r="BL42" s="12">
        <v>45</v>
      </c>
      <c r="BW42" s="12">
        <v>21</v>
      </c>
      <c r="BX42" s="57" t="s">
        <v>186</v>
      </c>
    </row>
    <row r="43" spans="1:76" x14ac:dyDescent="0.2">
      <c r="A43" s="50"/>
      <c r="D43" s="51" t="s">
        <v>190</v>
      </c>
      <c r="E43" s="51" t="s">
        <v>18</v>
      </c>
      <c r="G43" s="52">
        <v>0</v>
      </c>
      <c r="K43" s="45"/>
    </row>
    <row r="44" spans="1:76" x14ac:dyDescent="0.2">
      <c r="A44" s="50"/>
      <c r="D44" s="51" t="s">
        <v>191</v>
      </c>
      <c r="E44" s="51" t="s">
        <v>18</v>
      </c>
      <c r="G44" s="52">
        <v>32</v>
      </c>
      <c r="K44" s="45"/>
    </row>
    <row r="45" spans="1:76" x14ac:dyDescent="0.2">
      <c r="A45" s="48" t="s">
        <v>18</v>
      </c>
      <c r="B45" s="60" t="s">
        <v>18</v>
      </c>
      <c r="C45" s="60" t="s">
        <v>32</v>
      </c>
      <c r="D45" s="159" t="s">
        <v>33</v>
      </c>
      <c r="E45" s="160"/>
      <c r="F45" s="49" t="s">
        <v>3</v>
      </c>
      <c r="G45" s="49" t="s">
        <v>3</v>
      </c>
      <c r="H45" s="70" t="s">
        <v>3</v>
      </c>
      <c r="I45" s="62">
        <f>SUM(I46:I51)</f>
        <v>0</v>
      </c>
      <c r="K45" s="45"/>
      <c r="AI45" s="41" t="s">
        <v>18</v>
      </c>
      <c r="AS45" s="36">
        <f>SUM(AJ46:AJ51)</f>
        <v>0</v>
      </c>
      <c r="AT45" s="36">
        <f>SUM(AK46:AK51)</f>
        <v>0</v>
      </c>
      <c r="AU45" s="36">
        <f>SUM(AL46:AL51)</f>
        <v>0</v>
      </c>
    </row>
    <row r="46" spans="1:76" x14ac:dyDescent="0.2">
      <c r="A46" s="1" t="s">
        <v>192</v>
      </c>
      <c r="B46" s="2" t="s">
        <v>18</v>
      </c>
      <c r="C46" s="2" t="s">
        <v>193</v>
      </c>
      <c r="D46" s="87" t="s">
        <v>194</v>
      </c>
      <c r="E46" s="82"/>
      <c r="F46" s="2" t="s">
        <v>149</v>
      </c>
      <c r="G46" s="12">
        <v>1612.2</v>
      </c>
      <c r="H46" s="69">
        <v>0</v>
      </c>
      <c r="I46" s="69">
        <f>ROUND(G46*H46,2)</f>
        <v>0</v>
      </c>
      <c r="K46" s="45"/>
      <c r="Z46" s="12">
        <f>ROUND(IF(AQ46="5",BJ46,0),2)</f>
        <v>0</v>
      </c>
      <c r="AB46" s="12">
        <f>ROUND(IF(AQ46="1",BH46,0),2)</f>
        <v>0</v>
      </c>
      <c r="AC46" s="12">
        <f>ROUND(IF(AQ46="1",BI46,0),2)</f>
        <v>0</v>
      </c>
      <c r="AD46" s="12">
        <f>ROUND(IF(AQ46="7",BH46,0),2)</f>
        <v>0</v>
      </c>
      <c r="AE46" s="12">
        <f>ROUND(IF(AQ46="7",BI46,0),2)</f>
        <v>0</v>
      </c>
      <c r="AF46" s="12">
        <f>ROUND(IF(AQ46="2",BH46,0),2)</f>
        <v>0</v>
      </c>
      <c r="AG46" s="12">
        <f>ROUND(IF(AQ46="2",BI46,0),2)</f>
        <v>0</v>
      </c>
      <c r="AH46" s="12">
        <f>ROUND(IF(AQ46="0",BJ46,0),2)</f>
        <v>0</v>
      </c>
      <c r="AI46" s="41" t="s">
        <v>18</v>
      </c>
      <c r="AJ46" s="12">
        <f>IF(AN46=0,I46,0)</f>
        <v>0</v>
      </c>
      <c r="AK46" s="12">
        <f>IF(AN46=12,I46,0)</f>
        <v>0</v>
      </c>
      <c r="AL46" s="12">
        <f>IF(AN46=21,I46,0)</f>
        <v>0</v>
      </c>
      <c r="AN46" s="12">
        <v>21</v>
      </c>
      <c r="AO46" s="12">
        <f>H46*0.900000158</f>
        <v>0</v>
      </c>
      <c r="AP46" s="12">
        <f>H46*(1-0.900000158)</f>
        <v>0</v>
      </c>
      <c r="AQ46" s="11" t="s">
        <v>130</v>
      </c>
      <c r="AV46" s="12">
        <f>ROUND(AW46+AX46,2)</f>
        <v>0</v>
      </c>
      <c r="AW46" s="12">
        <f>ROUND(G46*AO46,2)</f>
        <v>0</v>
      </c>
      <c r="AX46" s="12">
        <f>ROUND(G46*AP46,2)</f>
        <v>0</v>
      </c>
      <c r="AY46" s="11" t="s">
        <v>195</v>
      </c>
      <c r="AZ46" s="11" t="s">
        <v>196</v>
      </c>
      <c r="BA46" s="41" t="s">
        <v>136</v>
      </c>
      <c r="BC46" s="12">
        <f>AW46+AX46</f>
        <v>0</v>
      </c>
      <c r="BD46" s="12">
        <f>H46/(100-BE46)*100</f>
        <v>0</v>
      </c>
      <c r="BE46" s="12">
        <v>0</v>
      </c>
      <c r="BF46" s="12">
        <f>46</f>
        <v>46</v>
      </c>
      <c r="BH46" s="12">
        <f>G46*AO46</f>
        <v>0</v>
      </c>
      <c r="BI46" s="12">
        <f>G46*AP46</f>
        <v>0</v>
      </c>
      <c r="BJ46" s="12">
        <f>G46*H46</f>
        <v>0</v>
      </c>
      <c r="BK46" s="12"/>
      <c r="BL46" s="12">
        <v>57</v>
      </c>
      <c r="BW46" s="12">
        <v>21</v>
      </c>
      <c r="BX46" s="57" t="s">
        <v>194</v>
      </c>
    </row>
    <row r="47" spans="1:76" x14ac:dyDescent="0.2">
      <c r="A47" s="50"/>
      <c r="D47" s="51" t="s">
        <v>197</v>
      </c>
      <c r="E47" s="51" t="s">
        <v>18</v>
      </c>
      <c r="G47" s="52">
        <v>1612.2</v>
      </c>
      <c r="K47" s="45"/>
    </row>
    <row r="48" spans="1:76" x14ac:dyDescent="0.2">
      <c r="A48" s="1" t="s">
        <v>24</v>
      </c>
      <c r="B48" s="2" t="s">
        <v>18</v>
      </c>
      <c r="C48" s="2" t="s">
        <v>198</v>
      </c>
      <c r="D48" s="87" t="s">
        <v>199</v>
      </c>
      <c r="E48" s="82"/>
      <c r="F48" s="2" t="s">
        <v>200</v>
      </c>
      <c r="G48" s="12">
        <v>40.305</v>
      </c>
      <c r="H48" s="69">
        <v>0</v>
      </c>
      <c r="I48" s="69">
        <f>ROUND(G48*H48,2)</f>
        <v>0</v>
      </c>
      <c r="K48" s="45"/>
      <c r="Z48" s="12">
        <f>ROUND(IF(AQ48="5",BJ48,0),2)</f>
        <v>0</v>
      </c>
      <c r="AB48" s="12">
        <f>ROUND(IF(AQ48="1",BH48,0),2)</f>
        <v>0</v>
      </c>
      <c r="AC48" s="12">
        <f>ROUND(IF(AQ48="1",BI48,0),2)</f>
        <v>0</v>
      </c>
      <c r="AD48" s="12">
        <f>ROUND(IF(AQ48="7",BH48,0),2)</f>
        <v>0</v>
      </c>
      <c r="AE48" s="12">
        <f>ROUND(IF(AQ48="7",BI48,0),2)</f>
        <v>0</v>
      </c>
      <c r="AF48" s="12">
        <f>ROUND(IF(AQ48="2",BH48,0),2)</f>
        <v>0</v>
      </c>
      <c r="AG48" s="12">
        <f>ROUND(IF(AQ48="2",BI48,0),2)</f>
        <v>0</v>
      </c>
      <c r="AH48" s="12">
        <f>ROUND(IF(AQ48="0",BJ48,0),2)</f>
        <v>0</v>
      </c>
      <c r="AI48" s="41" t="s">
        <v>18</v>
      </c>
      <c r="AJ48" s="12">
        <f>IF(AN48=0,I48,0)</f>
        <v>0</v>
      </c>
      <c r="AK48" s="12">
        <f>IF(AN48=12,I48,0)</f>
        <v>0</v>
      </c>
      <c r="AL48" s="12">
        <f>IF(AN48=21,I48,0)</f>
        <v>0</v>
      </c>
      <c r="AN48" s="12">
        <v>21</v>
      </c>
      <c r="AO48" s="12">
        <f>H48*0.914890029</f>
        <v>0</v>
      </c>
      <c r="AP48" s="12">
        <f>H48*(1-0.914890029)</f>
        <v>0</v>
      </c>
      <c r="AQ48" s="11" t="s">
        <v>130</v>
      </c>
      <c r="AV48" s="12">
        <f>ROUND(AW48+AX48,2)</f>
        <v>0</v>
      </c>
      <c r="AW48" s="12">
        <f>ROUND(G48*AO48,2)</f>
        <v>0</v>
      </c>
      <c r="AX48" s="12">
        <f>ROUND(G48*AP48,2)</f>
        <v>0</v>
      </c>
      <c r="AY48" s="11" t="s">
        <v>195</v>
      </c>
      <c r="AZ48" s="11" t="s">
        <v>196</v>
      </c>
      <c r="BA48" s="41" t="s">
        <v>136</v>
      </c>
      <c r="BC48" s="12">
        <f>AW48+AX48</f>
        <v>0</v>
      </c>
      <c r="BD48" s="12">
        <f>H48/(100-BE48)*100</f>
        <v>0</v>
      </c>
      <c r="BE48" s="12">
        <v>0</v>
      </c>
      <c r="BF48" s="12">
        <f>48</f>
        <v>48</v>
      </c>
      <c r="BH48" s="12">
        <f>G48*AO48</f>
        <v>0</v>
      </c>
      <c r="BI48" s="12">
        <f>G48*AP48</f>
        <v>0</v>
      </c>
      <c r="BJ48" s="12">
        <f>G48*H48</f>
        <v>0</v>
      </c>
      <c r="BK48" s="12"/>
      <c r="BL48" s="12">
        <v>57</v>
      </c>
      <c r="BW48" s="12">
        <v>21</v>
      </c>
      <c r="BX48" s="57" t="s">
        <v>199</v>
      </c>
    </row>
    <row r="49" spans="1:76" x14ac:dyDescent="0.2">
      <c r="A49" s="50"/>
      <c r="D49" s="51" t="s">
        <v>201</v>
      </c>
      <c r="E49" s="51" t="s">
        <v>18</v>
      </c>
      <c r="G49" s="52">
        <v>40.305</v>
      </c>
      <c r="K49" s="45"/>
    </row>
    <row r="50" spans="1:76" x14ac:dyDescent="0.2">
      <c r="A50" s="1" t="s">
        <v>202</v>
      </c>
      <c r="B50" s="2" t="s">
        <v>18</v>
      </c>
      <c r="C50" s="2" t="s">
        <v>203</v>
      </c>
      <c r="D50" s="87" t="s">
        <v>204</v>
      </c>
      <c r="E50" s="82"/>
      <c r="F50" s="2" t="s">
        <v>149</v>
      </c>
      <c r="G50" s="12">
        <v>806.1</v>
      </c>
      <c r="H50" s="69">
        <v>0</v>
      </c>
      <c r="I50" s="69">
        <f>ROUND(G50*H50,2)</f>
        <v>0</v>
      </c>
      <c r="K50" s="45"/>
      <c r="Z50" s="12">
        <f>ROUND(IF(AQ50="5",BJ50,0),2)</f>
        <v>0</v>
      </c>
      <c r="AB50" s="12">
        <f>ROUND(IF(AQ50="1",BH50,0),2)</f>
        <v>0</v>
      </c>
      <c r="AC50" s="12">
        <f>ROUND(IF(AQ50="1",BI50,0),2)</f>
        <v>0</v>
      </c>
      <c r="AD50" s="12">
        <f>ROUND(IF(AQ50="7",BH50,0),2)</f>
        <v>0</v>
      </c>
      <c r="AE50" s="12">
        <f>ROUND(IF(AQ50="7",BI50,0),2)</f>
        <v>0</v>
      </c>
      <c r="AF50" s="12">
        <f>ROUND(IF(AQ50="2",BH50,0),2)</f>
        <v>0</v>
      </c>
      <c r="AG50" s="12">
        <f>ROUND(IF(AQ50="2",BI50,0),2)</f>
        <v>0</v>
      </c>
      <c r="AH50" s="12">
        <f>ROUND(IF(AQ50="0",BJ50,0),2)</f>
        <v>0</v>
      </c>
      <c r="AI50" s="41" t="s">
        <v>18</v>
      </c>
      <c r="AJ50" s="12">
        <f>IF(AN50=0,I50,0)</f>
        <v>0</v>
      </c>
      <c r="AK50" s="12">
        <f>IF(AN50=12,I50,0)</f>
        <v>0</v>
      </c>
      <c r="AL50" s="12">
        <f>IF(AN50=21,I50,0)</f>
        <v>0</v>
      </c>
      <c r="AN50" s="12">
        <v>21</v>
      </c>
      <c r="AO50" s="12">
        <f>H50*0.763317918</f>
        <v>0</v>
      </c>
      <c r="AP50" s="12">
        <f>H50*(1-0.763317918)</f>
        <v>0</v>
      </c>
      <c r="AQ50" s="11" t="s">
        <v>130</v>
      </c>
      <c r="AV50" s="12">
        <f>ROUND(AW50+AX50,2)</f>
        <v>0</v>
      </c>
      <c r="AW50" s="12">
        <f>ROUND(G50*AO50,2)</f>
        <v>0</v>
      </c>
      <c r="AX50" s="12">
        <f>ROUND(G50*AP50,2)</f>
        <v>0</v>
      </c>
      <c r="AY50" s="11" t="s">
        <v>195</v>
      </c>
      <c r="AZ50" s="11" t="s">
        <v>196</v>
      </c>
      <c r="BA50" s="41" t="s">
        <v>136</v>
      </c>
      <c r="BC50" s="12">
        <f>AW50+AX50</f>
        <v>0</v>
      </c>
      <c r="BD50" s="12">
        <f>H50/(100-BE50)*100</f>
        <v>0</v>
      </c>
      <c r="BE50" s="12">
        <v>0</v>
      </c>
      <c r="BF50" s="12">
        <f>50</f>
        <v>50</v>
      </c>
      <c r="BH50" s="12">
        <f>G50*AO50</f>
        <v>0</v>
      </c>
      <c r="BI50" s="12">
        <f>G50*AP50</f>
        <v>0</v>
      </c>
      <c r="BJ50" s="12">
        <f>G50*H50</f>
        <v>0</v>
      </c>
      <c r="BK50" s="12"/>
      <c r="BL50" s="12">
        <v>57</v>
      </c>
      <c r="BW50" s="12">
        <v>21</v>
      </c>
      <c r="BX50" s="57" t="s">
        <v>204</v>
      </c>
    </row>
    <row r="51" spans="1:76" x14ac:dyDescent="0.2">
      <c r="A51" s="1" t="s">
        <v>205</v>
      </c>
      <c r="B51" s="2" t="s">
        <v>18</v>
      </c>
      <c r="C51" s="2" t="s">
        <v>206</v>
      </c>
      <c r="D51" s="87" t="s">
        <v>207</v>
      </c>
      <c r="E51" s="82"/>
      <c r="F51" s="2" t="s">
        <v>200</v>
      </c>
      <c r="G51" s="12">
        <v>2</v>
      </c>
      <c r="H51" s="69">
        <v>0</v>
      </c>
      <c r="I51" s="69">
        <f>ROUND(G51*H51,2)</f>
        <v>0</v>
      </c>
      <c r="K51" s="45"/>
      <c r="Z51" s="12">
        <f>ROUND(IF(AQ51="5",BJ51,0),2)</f>
        <v>0</v>
      </c>
      <c r="AB51" s="12">
        <f>ROUND(IF(AQ51="1",BH51,0),2)</f>
        <v>0</v>
      </c>
      <c r="AC51" s="12">
        <f>ROUND(IF(AQ51="1",BI51,0),2)</f>
        <v>0</v>
      </c>
      <c r="AD51" s="12">
        <f>ROUND(IF(AQ51="7",BH51,0),2)</f>
        <v>0</v>
      </c>
      <c r="AE51" s="12">
        <f>ROUND(IF(AQ51="7",BI51,0),2)</f>
        <v>0</v>
      </c>
      <c r="AF51" s="12">
        <f>ROUND(IF(AQ51="2",BH51,0),2)</f>
        <v>0</v>
      </c>
      <c r="AG51" s="12">
        <f>ROUND(IF(AQ51="2",BI51,0),2)</f>
        <v>0</v>
      </c>
      <c r="AH51" s="12">
        <f>ROUND(IF(AQ51="0",BJ51,0),2)</f>
        <v>0</v>
      </c>
      <c r="AI51" s="41" t="s">
        <v>18</v>
      </c>
      <c r="AJ51" s="12">
        <f>IF(AN51=0,I51,0)</f>
        <v>0</v>
      </c>
      <c r="AK51" s="12">
        <f>IF(AN51=12,I51,0)</f>
        <v>0</v>
      </c>
      <c r="AL51" s="12">
        <f>IF(AN51=21,I51,0)</f>
        <v>0</v>
      </c>
      <c r="AN51" s="12">
        <v>21</v>
      </c>
      <c r="AO51" s="12">
        <f>H51*0.300006042</f>
        <v>0</v>
      </c>
      <c r="AP51" s="12">
        <f>H51*(1-0.300006042)</f>
        <v>0</v>
      </c>
      <c r="AQ51" s="11" t="s">
        <v>130</v>
      </c>
      <c r="AV51" s="12">
        <f>ROUND(AW51+AX51,2)</f>
        <v>0</v>
      </c>
      <c r="AW51" s="12">
        <f>ROUND(G51*AO51,2)</f>
        <v>0</v>
      </c>
      <c r="AX51" s="12">
        <f>ROUND(G51*AP51,2)</f>
        <v>0</v>
      </c>
      <c r="AY51" s="11" t="s">
        <v>195</v>
      </c>
      <c r="AZ51" s="11" t="s">
        <v>196</v>
      </c>
      <c r="BA51" s="41" t="s">
        <v>136</v>
      </c>
      <c r="BC51" s="12">
        <f>AW51+AX51</f>
        <v>0</v>
      </c>
      <c r="BD51" s="12">
        <f>H51/(100-BE51)*100</f>
        <v>0</v>
      </c>
      <c r="BE51" s="12">
        <v>0</v>
      </c>
      <c r="BF51" s="12">
        <f>51</f>
        <v>51</v>
      </c>
      <c r="BH51" s="12">
        <f>G51*AO51</f>
        <v>0</v>
      </c>
      <c r="BI51" s="12">
        <f>G51*AP51</f>
        <v>0</v>
      </c>
      <c r="BJ51" s="12">
        <f>G51*H51</f>
        <v>0</v>
      </c>
      <c r="BK51" s="12"/>
      <c r="BL51" s="12">
        <v>57</v>
      </c>
      <c r="BW51" s="12">
        <v>21</v>
      </c>
      <c r="BX51" s="57" t="s">
        <v>207</v>
      </c>
    </row>
    <row r="52" spans="1:76" x14ac:dyDescent="0.2">
      <c r="A52" s="50"/>
      <c r="D52" s="51" t="s">
        <v>208</v>
      </c>
      <c r="E52" s="51" t="s">
        <v>18</v>
      </c>
      <c r="G52" s="52">
        <v>2</v>
      </c>
      <c r="K52" s="45"/>
    </row>
    <row r="53" spans="1:76" x14ac:dyDescent="0.2">
      <c r="A53" s="48" t="s">
        <v>18</v>
      </c>
      <c r="B53" s="60" t="s">
        <v>18</v>
      </c>
      <c r="C53" s="60" t="s">
        <v>34</v>
      </c>
      <c r="D53" s="159" t="s">
        <v>35</v>
      </c>
      <c r="E53" s="160"/>
      <c r="F53" s="49" t="s">
        <v>3</v>
      </c>
      <c r="G53" s="49" t="s">
        <v>3</v>
      </c>
      <c r="H53" s="70" t="s">
        <v>3</v>
      </c>
      <c r="I53" s="62">
        <f>SUM(I54:I54)</f>
        <v>0</v>
      </c>
      <c r="K53" s="45"/>
      <c r="AI53" s="41" t="s">
        <v>18</v>
      </c>
      <c r="AS53" s="36">
        <f>SUM(AJ54:AJ54)</f>
        <v>0</v>
      </c>
      <c r="AT53" s="36">
        <f>SUM(AK54:AK54)</f>
        <v>0</v>
      </c>
      <c r="AU53" s="36">
        <f>SUM(AL54:AL54)</f>
        <v>0</v>
      </c>
    </row>
    <row r="54" spans="1:76" x14ac:dyDescent="0.2">
      <c r="A54" s="1" t="s">
        <v>26</v>
      </c>
      <c r="B54" s="2" t="s">
        <v>18</v>
      </c>
      <c r="C54" s="2" t="s">
        <v>209</v>
      </c>
      <c r="D54" s="87" t="s">
        <v>210</v>
      </c>
      <c r="E54" s="82"/>
      <c r="F54" s="2" t="s">
        <v>187</v>
      </c>
      <c r="G54" s="12">
        <v>13</v>
      </c>
      <c r="H54" s="69">
        <v>0</v>
      </c>
      <c r="I54" s="69">
        <f>ROUND(G54*H54,2)</f>
        <v>0</v>
      </c>
      <c r="K54" s="45"/>
      <c r="Z54" s="12">
        <f>ROUND(IF(AQ54="5",BJ54,0),2)</f>
        <v>0</v>
      </c>
      <c r="AB54" s="12">
        <f>ROUND(IF(AQ54="1",BH54,0),2)</f>
        <v>0</v>
      </c>
      <c r="AC54" s="12">
        <f>ROUND(IF(AQ54="1",BI54,0),2)</f>
        <v>0</v>
      </c>
      <c r="AD54" s="12">
        <f>ROUND(IF(AQ54="7",BH54,0),2)</f>
        <v>0</v>
      </c>
      <c r="AE54" s="12">
        <f>ROUND(IF(AQ54="7",BI54,0),2)</f>
        <v>0</v>
      </c>
      <c r="AF54" s="12">
        <f>ROUND(IF(AQ54="2",BH54,0),2)</f>
        <v>0</v>
      </c>
      <c r="AG54" s="12">
        <f>ROUND(IF(AQ54="2",BI54,0),2)</f>
        <v>0</v>
      </c>
      <c r="AH54" s="12">
        <f>ROUND(IF(AQ54="0",BJ54,0),2)</f>
        <v>0</v>
      </c>
      <c r="AI54" s="41" t="s">
        <v>18</v>
      </c>
      <c r="AJ54" s="12">
        <f>IF(AN54=0,I54,0)</f>
        <v>0</v>
      </c>
      <c r="AK54" s="12">
        <f>IF(AN54=12,I54,0)</f>
        <v>0</v>
      </c>
      <c r="AL54" s="12">
        <f>IF(AN54=21,I54,0)</f>
        <v>0</v>
      </c>
      <c r="AN54" s="12">
        <v>21</v>
      </c>
      <c r="AO54" s="12">
        <f>H54*0.867146205</f>
        <v>0</v>
      </c>
      <c r="AP54" s="12">
        <f>H54*(1-0.867146205)</f>
        <v>0</v>
      </c>
      <c r="AQ54" s="11" t="s">
        <v>130</v>
      </c>
      <c r="AV54" s="12">
        <f>ROUND(AW54+AX54,2)</f>
        <v>0</v>
      </c>
      <c r="AW54" s="12">
        <f>ROUND(G54*AO54,2)</f>
        <v>0</v>
      </c>
      <c r="AX54" s="12">
        <f>ROUND(G54*AP54,2)</f>
        <v>0</v>
      </c>
      <c r="AY54" s="11" t="s">
        <v>211</v>
      </c>
      <c r="AZ54" s="11" t="s">
        <v>196</v>
      </c>
      <c r="BA54" s="41" t="s">
        <v>136</v>
      </c>
      <c r="BC54" s="12">
        <f>AW54+AX54</f>
        <v>0</v>
      </c>
      <c r="BD54" s="12">
        <f>H54/(100-BE54)*100</f>
        <v>0</v>
      </c>
      <c r="BE54" s="12">
        <v>0</v>
      </c>
      <c r="BF54" s="12">
        <f>54</f>
        <v>54</v>
      </c>
      <c r="BH54" s="12">
        <f>G54*AO54</f>
        <v>0</v>
      </c>
      <c r="BI54" s="12">
        <f>G54*AP54</f>
        <v>0</v>
      </c>
      <c r="BJ54" s="12">
        <f>G54*H54</f>
        <v>0</v>
      </c>
      <c r="BK54" s="12"/>
      <c r="BL54" s="12">
        <v>59</v>
      </c>
      <c r="BW54" s="12">
        <v>21</v>
      </c>
      <c r="BX54" s="57" t="s">
        <v>210</v>
      </c>
    </row>
    <row r="55" spans="1:76" x14ac:dyDescent="0.2">
      <c r="A55" s="50"/>
      <c r="D55" s="51" t="s">
        <v>212</v>
      </c>
      <c r="E55" s="51" t="s">
        <v>18</v>
      </c>
      <c r="G55" s="52">
        <v>13</v>
      </c>
      <c r="K55" s="45"/>
    </row>
    <row r="56" spans="1:76" x14ac:dyDescent="0.2">
      <c r="A56" s="48" t="s">
        <v>18</v>
      </c>
      <c r="B56" s="60" t="s">
        <v>18</v>
      </c>
      <c r="C56" s="60" t="s">
        <v>36</v>
      </c>
      <c r="D56" s="159" t="s">
        <v>37</v>
      </c>
      <c r="E56" s="160"/>
      <c r="F56" s="49" t="s">
        <v>3</v>
      </c>
      <c r="G56" s="49" t="s">
        <v>3</v>
      </c>
      <c r="H56" s="70" t="s">
        <v>3</v>
      </c>
      <c r="I56" s="62">
        <f>SUM(I57:I58)</f>
        <v>0</v>
      </c>
      <c r="K56" s="45"/>
      <c r="AI56" s="41" t="s">
        <v>18</v>
      </c>
      <c r="AS56" s="36">
        <f>SUM(AJ57:AJ58)</f>
        <v>0</v>
      </c>
      <c r="AT56" s="36">
        <f>SUM(AK57:AK58)</f>
        <v>0</v>
      </c>
      <c r="AU56" s="36">
        <f>SUM(AL57:AL58)</f>
        <v>0</v>
      </c>
    </row>
    <row r="57" spans="1:76" x14ac:dyDescent="0.2">
      <c r="A57" s="1" t="s">
        <v>213</v>
      </c>
      <c r="B57" s="2" t="s">
        <v>18</v>
      </c>
      <c r="C57" s="2" t="s">
        <v>214</v>
      </c>
      <c r="D57" s="87" t="s">
        <v>215</v>
      </c>
      <c r="E57" s="82"/>
      <c r="F57" s="2" t="s">
        <v>216</v>
      </c>
      <c r="G57" s="12">
        <v>15</v>
      </c>
      <c r="H57" s="69">
        <v>0</v>
      </c>
      <c r="I57" s="69">
        <f>ROUND(G57*H57,2)</f>
        <v>0</v>
      </c>
      <c r="K57" s="45"/>
      <c r="Z57" s="12">
        <f>ROUND(IF(AQ57="5",BJ57,0),2)</f>
        <v>0</v>
      </c>
      <c r="AB57" s="12">
        <f>ROUND(IF(AQ57="1",BH57,0),2)</f>
        <v>0</v>
      </c>
      <c r="AC57" s="12">
        <f>ROUND(IF(AQ57="1",BI57,0),2)</f>
        <v>0</v>
      </c>
      <c r="AD57" s="12">
        <f>ROUND(IF(AQ57="7",BH57,0),2)</f>
        <v>0</v>
      </c>
      <c r="AE57" s="12">
        <f>ROUND(IF(AQ57="7",BI57,0),2)</f>
        <v>0</v>
      </c>
      <c r="AF57" s="12">
        <f>ROUND(IF(AQ57="2",BH57,0),2)</f>
        <v>0</v>
      </c>
      <c r="AG57" s="12">
        <f>ROUND(IF(AQ57="2",BI57,0),2)</f>
        <v>0</v>
      </c>
      <c r="AH57" s="12">
        <f>ROUND(IF(AQ57="0",BJ57,0),2)</f>
        <v>0</v>
      </c>
      <c r="AI57" s="41" t="s">
        <v>18</v>
      </c>
      <c r="AJ57" s="12">
        <f>IF(AN57=0,I57,0)</f>
        <v>0</v>
      </c>
      <c r="AK57" s="12">
        <f>IF(AN57=12,I57,0)</f>
        <v>0</v>
      </c>
      <c r="AL57" s="12">
        <f>IF(AN57=21,I57,0)</f>
        <v>0</v>
      </c>
      <c r="AN57" s="12">
        <v>21</v>
      </c>
      <c r="AO57" s="12">
        <f>H57*0.471971363</f>
        <v>0</v>
      </c>
      <c r="AP57" s="12">
        <f>H57*(1-0.471971363)</f>
        <v>0</v>
      </c>
      <c r="AQ57" s="11" t="s">
        <v>130</v>
      </c>
      <c r="AV57" s="12">
        <f>ROUND(AW57+AX57,2)</f>
        <v>0</v>
      </c>
      <c r="AW57" s="12">
        <f>ROUND(G57*AO57,2)</f>
        <v>0</v>
      </c>
      <c r="AX57" s="12">
        <f>ROUND(G57*AP57,2)</f>
        <v>0</v>
      </c>
      <c r="AY57" s="11" t="s">
        <v>217</v>
      </c>
      <c r="AZ57" s="11" t="s">
        <v>218</v>
      </c>
      <c r="BA57" s="41" t="s">
        <v>136</v>
      </c>
      <c r="BC57" s="12">
        <f>AW57+AX57</f>
        <v>0</v>
      </c>
      <c r="BD57" s="12">
        <f>H57/(100-BE57)*100</f>
        <v>0</v>
      </c>
      <c r="BE57" s="12">
        <v>0</v>
      </c>
      <c r="BF57" s="12">
        <f>57</f>
        <v>57</v>
      </c>
      <c r="BH57" s="12">
        <f>G57*AO57</f>
        <v>0</v>
      </c>
      <c r="BI57" s="12">
        <f>G57*AP57</f>
        <v>0</v>
      </c>
      <c r="BJ57" s="12">
        <f>G57*H57</f>
        <v>0</v>
      </c>
      <c r="BK57" s="12"/>
      <c r="BL57" s="12">
        <v>89</v>
      </c>
      <c r="BW57" s="12">
        <v>21</v>
      </c>
      <c r="BX57" s="57" t="s">
        <v>215</v>
      </c>
    </row>
    <row r="58" spans="1:76" x14ac:dyDescent="0.2">
      <c r="A58" s="1" t="s">
        <v>219</v>
      </c>
      <c r="B58" s="2" t="s">
        <v>18</v>
      </c>
      <c r="C58" s="2" t="s">
        <v>220</v>
      </c>
      <c r="D58" s="87" t="s">
        <v>221</v>
      </c>
      <c r="E58" s="82"/>
      <c r="F58" s="2" t="s">
        <v>216</v>
      </c>
      <c r="G58" s="12">
        <v>3</v>
      </c>
      <c r="H58" s="69">
        <v>0</v>
      </c>
      <c r="I58" s="69">
        <f>ROUND(G58*H58,2)</f>
        <v>0</v>
      </c>
      <c r="K58" s="45"/>
      <c r="Z58" s="12">
        <f>ROUND(IF(AQ58="5",BJ58,0),2)</f>
        <v>0</v>
      </c>
      <c r="AB58" s="12">
        <f>ROUND(IF(AQ58="1",BH58,0),2)</f>
        <v>0</v>
      </c>
      <c r="AC58" s="12">
        <f>ROUND(IF(AQ58="1",BI58,0),2)</f>
        <v>0</v>
      </c>
      <c r="AD58" s="12">
        <f>ROUND(IF(AQ58="7",BH58,0),2)</f>
        <v>0</v>
      </c>
      <c r="AE58" s="12">
        <f>ROUND(IF(AQ58="7",BI58,0),2)</f>
        <v>0</v>
      </c>
      <c r="AF58" s="12">
        <f>ROUND(IF(AQ58="2",BH58,0),2)</f>
        <v>0</v>
      </c>
      <c r="AG58" s="12">
        <f>ROUND(IF(AQ58="2",BI58,0),2)</f>
        <v>0</v>
      </c>
      <c r="AH58" s="12">
        <f>ROUND(IF(AQ58="0",BJ58,0),2)</f>
        <v>0</v>
      </c>
      <c r="AI58" s="41" t="s">
        <v>18</v>
      </c>
      <c r="AJ58" s="12">
        <f>IF(AN58=0,I58,0)</f>
        <v>0</v>
      </c>
      <c r="AK58" s="12">
        <f>IF(AN58=12,I58,0)</f>
        <v>0</v>
      </c>
      <c r="AL58" s="12">
        <f>IF(AN58=21,I58,0)</f>
        <v>0</v>
      </c>
      <c r="AN58" s="12">
        <v>21</v>
      </c>
      <c r="AO58" s="12">
        <f>H58*0.3184608</f>
        <v>0</v>
      </c>
      <c r="AP58" s="12">
        <f>H58*(1-0.3184608)</f>
        <v>0</v>
      </c>
      <c r="AQ58" s="11" t="s">
        <v>130</v>
      </c>
      <c r="AV58" s="12">
        <f>ROUND(AW58+AX58,2)</f>
        <v>0</v>
      </c>
      <c r="AW58" s="12">
        <f>ROUND(G58*AO58,2)</f>
        <v>0</v>
      </c>
      <c r="AX58" s="12">
        <f>ROUND(G58*AP58,2)</f>
        <v>0</v>
      </c>
      <c r="AY58" s="11" t="s">
        <v>217</v>
      </c>
      <c r="AZ58" s="11" t="s">
        <v>218</v>
      </c>
      <c r="BA58" s="41" t="s">
        <v>136</v>
      </c>
      <c r="BC58" s="12">
        <f>AW58+AX58</f>
        <v>0</v>
      </c>
      <c r="BD58" s="12">
        <f>H58/(100-BE58)*100</f>
        <v>0</v>
      </c>
      <c r="BE58" s="12">
        <v>0</v>
      </c>
      <c r="BF58" s="12">
        <f>58</f>
        <v>58</v>
      </c>
      <c r="BH58" s="12">
        <f>G58*AO58</f>
        <v>0</v>
      </c>
      <c r="BI58" s="12">
        <f>G58*AP58</f>
        <v>0</v>
      </c>
      <c r="BJ58" s="12">
        <f>G58*H58</f>
        <v>0</v>
      </c>
      <c r="BK58" s="12"/>
      <c r="BL58" s="12">
        <v>89</v>
      </c>
      <c r="BW58" s="12">
        <v>21</v>
      </c>
      <c r="BX58" s="57" t="s">
        <v>221</v>
      </c>
    </row>
    <row r="59" spans="1:76" x14ac:dyDescent="0.2">
      <c r="A59" s="48" t="s">
        <v>18</v>
      </c>
      <c r="B59" s="60" t="s">
        <v>18</v>
      </c>
      <c r="C59" s="60" t="s">
        <v>38</v>
      </c>
      <c r="D59" s="159" t="s">
        <v>39</v>
      </c>
      <c r="E59" s="160"/>
      <c r="F59" s="49" t="s">
        <v>3</v>
      </c>
      <c r="G59" s="49" t="s">
        <v>3</v>
      </c>
      <c r="H59" s="70" t="s">
        <v>3</v>
      </c>
      <c r="I59" s="62">
        <f>SUM(I60:I60)</f>
        <v>0</v>
      </c>
      <c r="K59" s="45"/>
      <c r="AI59" s="41" t="s">
        <v>18</v>
      </c>
      <c r="AS59" s="36">
        <f>SUM(AJ60:AJ60)</f>
        <v>0</v>
      </c>
      <c r="AT59" s="36">
        <f>SUM(AK60:AK60)</f>
        <v>0</v>
      </c>
      <c r="AU59" s="36">
        <f>SUM(AL60:AL60)</f>
        <v>0</v>
      </c>
    </row>
    <row r="60" spans="1:76" x14ac:dyDescent="0.2">
      <c r="A60" s="1" t="s">
        <v>28</v>
      </c>
      <c r="B60" s="2" t="s">
        <v>18</v>
      </c>
      <c r="C60" s="2" t="s">
        <v>222</v>
      </c>
      <c r="D60" s="87" t="s">
        <v>223</v>
      </c>
      <c r="E60" s="82"/>
      <c r="F60" s="2" t="s">
        <v>187</v>
      </c>
      <c r="G60" s="12">
        <v>73</v>
      </c>
      <c r="H60" s="69">
        <v>0</v>
      </c>
      <c r="I60" s="69">
        <f>ROUND(G60*H60,2)</f>
        <v>0</v>
      </c>
      <c r="K60" s="45"/>
      <c r="Z60" s="12">
        <f>ROUND(IF(AQ60="5",BJ60,0),2)</f>
        <v>0</v>
      </c>
      <c r="AB60" s="12">
        <f>ROUND(IF(AQ60="1",BH60,0),2)</f>
        <v>0</v>
      </c>
      <c r="AC60" s="12">
        <f>ROUND(IF(AQ60="1",BI60,0),2)</f>
        <v>0</v>
      </c>
      <c r="AD60" s="12">
        <f>ROUND(IF(AQ60="7",BH60,0),2)</f>
        <v>0</v>
      </c>
      <c r="AE60" s="12">
        <f>ROUND(IF(AQ60="7",BI60,0),2)</f>
        <v>0</v>
      </c>
      <c r="AF60" s="12">
        <f>ROUND(IF(AQ60="2",BH60,0),2)</f>
        <v>0</v>
      </c>
      <c r="AG60" s="12">
        <f>ROUND(IF(AQ60="2",BI60,0),2)</f>
        <v>0</v>
      </c>
      <c r="AH60" s="12">
        <f>ROUND(IF(AQ60="0",BJ60,0),2)</f>
        <v>0</v>
      </c>
      <c r="AI60" s="41" t="s">
        <v>18</v>
      </c>
      <c r="AJ60" s="12">
        <f>IF(AN60=0,I60,0)</f>
        <v>0</v>
      </c>
      <c r="AK60" s="12">
        <f>IF(AN60=12,I60,0)</f>
        <v>0</v>
      </c>
      <c r="AL60" s="12">
        <f>IF(AN60=21,I60,0)</f>
        <v>0</v>
      </c>
      <c r="AN60" s="12">
        <v>21</v>
      </c>
      <c r="AO60" s="12">
        <f>H60*0.556102708</f>
        <v>0</v>
      </c>
      <c r="AP60" s="12">
        <f>H60*(1-0.556102708)</f>
        <v>0</v>
      </c>
      <c r="AQ60" s="11" t="s">
        <v>130</v>
      </c>
      <c r="AV60" s="12">
        <f>ROUND(AW60+AX60,2)</f>
        <v>0</v>
      </c>
      <c r="AW60" s="12">
        <f>ROUND(G60*AO60,2)</f>
        <v>0</v>
      </c>
      <c r="AX60" s="12">
        <f>ROUND(G60*AP60,2)</f>
        <v>0</v>
      </c>
      <c r="AY60" s="11" t="s">
        <v>224</v>
      </c>
      <c r="AZ60" s="11" t="s">
        <v>225</v>
      </c>
      <c r="BA60" s="41" t="s">
        <v>136</v>
      </c>
      <c r="BC60" s="12">
        <f>AW60+AX60</f>
        <v>0</v>
      </c>
      <c r="BD60" s="12">
        <f>H60/(100-BE60)*100</f>
        <v>0</v>
      </c>
      <c r="BE60" s="12">
        <v>0</v>
      </c>
      <c r="BF60" s="12">
        <f>60</f>
        <v>60</v>
      </c>
      <c r="BH60" s="12">
        <f>G60*AO60</f>
        <v>0</v>
      </c>
      <c r="BI60" s="12">
        <f>G60*AP60</f>
        <v>0</v>
      </c>
      <c r="BJ60" s="12">
        <f>G60*H60</f>
        <v>0</v>
      </c>
      <c r="BK60" s="12"/>
      <c r="BL60" s="12">
        <v>91</v>
      </c>
      <c r="BW60" s="12">
        <v>21</v>
      </c>
      <c r="BX60" s="57" t="s">
        <v>223</v>
      </c>
    </row>
    <row r="61" spans="1:76" x14ac:dyDescent="0.2">
      <c r="A61" s="50"/>
      <c r="D61" s="51" t="s">
        <v>226</v>
      </c>
      <c r="E61" s="51" t="s">
        <v>18</v>
      </c>
      <c r="G61" s="52">
        <v>73</v>
      </c>
      <c r="K61" s="45"/>
    </row>
    <row r="62" spans="1:76" x14ac:dyDescent="0.2">
      <c r="A62" s="48" t="s">
        <v>18</v>
      </c>
      <c r="B62" s="60" t="s">
        <v>18</v>
      </c>
      <c r="C62" s="60" t="s">
        <v>40</v>
      </c>
      <c r="D62" s="159" t="s">
        <v>41</v>
      </c>
      <c r="E62" s="160"/>
      <c r="F62" s="49" t="s">
        <v>3</v>
      </c>
      <c r="G62" s="49" t="s">
        <v>3</v>
      </c>
      <c r="H62" s="70" t="s">
        <v>3</v>
      </c>
      <c r="I62" s="62">
        <f>SUM(I63:I68)</f>
        <v>0</v>
      </c>
      <c r="K62" s="45"/>
      <c r="AI62" s="41" t="s">
        <v>18</v>
      </c>
      <c r="AS62" s="36">
        <f>SUM(AJ63:AJ68)</f>
        <v>0</v>
      </c>
      <c r="AT62" s="36">
        <f>SUM(AK63:AK68)</f>
        <v>0</v>
      </c>
      <c r="AU62" s="36">
        <f>SUM(AL63:AL68)</f>
        <v>0</v>
      </c>
    </row>
    <row r="63" spans="1:76" x14ac:dyDescent="0.2">
      <c r="A63" s="1" t="s">
        <v>227</v>
      </c>
      <c r="B63" s="2" t="s">
        <v>18</v>
      </c>
      <c r="C63" s="2" t="s">
        <v>228</v>
      </c>
      <c r="D63" s="87" t="s">
        <v>229</v>
      </c>
      <c r="E63" s="82"/>
      <c r="F63" s="2" t="s">
        <v>149</v>
      </c>
      <c r="G63" s="12">
        <v>26</v>
      </c>
      <c r="H63" s="69">
        <v>0</v>
      </c>
      <c r="I63" s="69">
        <f>ROUND(G63*H63,2)</f>
        <v>0</v>
      </c>
      <c r="K63" s="45"/>
      <c r="Z63" s="12">
        <f>ROUND(IF(AQ63="5",BJ63,0),2)</f>
        <v>0</v>
      </c>
      <c r="AB63" s="12">
        <f>ROUND(IF(AQ63="1",BH63,0),2)</f>
        <v>0</v>
      </c>
      <c r="AC63" s="12">
        <f>ROUND(IF(AQ63="1",BI63,0),2)</f>
        <v>0</v>
      </c>
      <c r="AD63" s="12">
        <f>ROUND(IF(AQ63="7",BH63,0),2)</f>
        <v>0</v>
      </c>
      <c r="AE63" s="12">
        <f>ROUND(IF(AQ63="7",BI63,0),2)</f>
        <v>0</v>
      </c>
      <c r="AF63" s="12">
        <f>ROUND(IF(AQ63="2",BH63,0),2)</f>
        <v>0</v>
      </c>
      <c r="AG63" s="12">
        <f>ROUND(IF(AQ63="2",BI63,0),2)</f>
        <v>0</v>
      </c>
      <c r="AH63" s="12">
        <f>ROUND(IF(AQ63="0",BJ63,0),2)</f>
        <v>0</v>
      </c>
      <c r="AI63" s="41" t="s">
        <v>18</v>
      </c>
      <c r="AJ63" s="12">
        <f>IF(AN63=0,I63,0)</f>
        <v>0</v>
      </c>
      <c r="AK63" s="12">
        <f>IF(AN63=12,I63,0)</f>
        <v>0</v>
      </c>
      <c r="AL63" s="12">
        <f>IF(AN63=21,I63,0)</f>
        <v>0</v>
      </c>
      <c r="AN63" s="12">
        <v>21</v>
      </c>
      <c r="AO63" s="12">
        <f>H63*0</f>
        <v>0</v>
      </c>
      <c r="AP63" s="12">
        <f>H63*(1-0)</f>
        <v>0</v>
      </c>
      <c r="AQ63" s="11" t="s">
        <v>130</v>
      </c>
      <c r="AV63" s="12">
        <f>ROUND(AW63+AX63,2)</f>
        <v>0</v>
      </c>
      <c r="AW63" s="12">
        <f>ROUND(G63*AO63,2)</f>
        <v>0</v>
      </c>
      <c r="AX63" s="12">
        <f>ROUND(G63*AP63,2)</f>
        <v>0</v>
      </c>
      <c r="AY63" s="11" t="s">
        <v>230</v>
      </c>
      <c r="AZ63" s="11" t="s">
        <v>225</v>
      </c>
      <c r="BA63" s="41" t="s">
        <v>136</v>
      </c>
      <c r="BC63" s="12">
        <f>AW63+AX63</f>
        <v>0</v>
      </c>
      <c r="BD63" s="12">
        <f>H63/(100-BE63)*100</f>
        <v>0</v>
      </c>
      <c r="BE63" s="12">
        <v>0</v>
      </c>
      <c r="BF63" s="12">
        <f>63</f>
        <v>63</v>
      </c>
      <c r="BH63" s="12">
        <f>G63*AO63</f>
        <v>0</v>
      </c>
      <c r="BI63" s="12">
        <f>G63*AP63</f>
        <v>0</v>
      </c>
      <c r="BJ63" s="12">
        <f>G63*H63</f>
        <v>0</v>
      </c>
      <c r="BK63" s="12"/>
      <c r="BL63" s="12">
        <v>93</v>
      </c>
      <c r="BW63" s="12">
        <v>21</v>
      </c>
      <c r="BX63" s="57" t="s">
        <v>229</v>
      </c>
    </row>
    <row r="64" spans="1:76" x14ac:dyDescent="0.2">
      <c r="A64" s="50"/>
      <c r="D64" s="51" t="s">
        <v>231</v>
      </c>
      <c r="E64" s="51" t="s">
        <v>18</v>
      </c>
      <c r="G64" s="52">
        <v>26</v>
      </c>
      <c r="K64" s="45"/>
    </row>
    <row r="65" spans="1:76" x14ac:dyDescent="0.2">
      <c r="A65" s="1" t="s">
        <v>232</v>
      </c>
      <c r="B65" s="2" t="s">
        <v>18</v>
      </c>
      <c r="C65" s="2" t="s">
        <v>233</v>
      </c>
      <c r="D65" s="87" t="s">
        <v>234</v>
      </c>
      <c r="E65" s="82"/>
      <c r="F65" s="2" t="s">
        <v>187</v>
      </c>
      <c r="G65" s="12">
        <v>80</v>
      </c>
      <c r="H65" s="69">
        <v>0</v>
      </c>
      <c r="I65" s="69">
        <f>ROUND(G65*H65,2)</f>
        <v>0</v>
      </c>
      <c r="K65" s="45"/>
      <c r="Z65" s="12">
        <f>ROUND(IF(AQ65="5",BJ65,0),2)</f>
        <v>0</v>
      </c>
      <c r="AB65" s="12">
        <f>ROUND(IF(AQ65="1",BH65,0),2)</f>
        <v>0</v>
      </c>
      <c r="AC65" s="12">
        <f>ROUND(IF(AQ65="1",BI65,0),2)</f>
        <v>0</v>
      </c>
      <c r="AD65" s="12">
        <f>ROUND(IF(AQ65="7",BH65,0),2)</f>
        <v>0</v>
      </c>
      <c r="AE65" s="12">
        <f>ROUND(IF(AQ65="7",BI65,0),2)</f>
        <v>0</v>
      </c>
      <c r="AF65" s="12">
        <f>ROUND(IF(AQ65="2",BH65,0),2)</f>
        <v>0</v>
      </c>
      <c r="AG65" s="12">
        <f>ROUND(IF(AQ65="2",BI65,0),2)</f>
        <v>0</v>
      </c>
      <c r="AH65" s="12">
        <f>ROUND(IF(AQ65="0",BJ65,0),2)</f>
        <v>0</v>
      </c>
      <c r="AI65" s="41" t="s">
        <v>18</v>
      </c>
      <c r="AJ65" s="12">
        <f>IF(AN65=0,I65,0)</f>
        <v>0</v>
      </c>
      <c r="AK65" s="12">
        <f>IF(AN65=12,I65,0)</f>
        <v>0</v>
      </c>
      <c r="AL65" s="12">
        <f>IF(AN65=21,I65,0)</f>
        <v>0</v>
      </c>
      <c r="AN65" s="12">
        <v>21</v>
      </c>
      <c r="AO65" s="12">
        <f>H65*0.627855856</f>
        <v>0</v>
      </c>
      <c r="AP65" s="12">
        <f>H65*(1-0.627855856)</f>
        <v>0</v>
      </c>
      <c r="AQ65" s="11" t="s">
        <v>130</v>
      </c>
      <c r="AV65" s="12">
        <f>ROUND(AW65+AX65,2)</f>
        <v>0</v>
      </c>
      <c r="AW65" s="12">
        <f>ROUND(G65*AO65,2)</f>
        <v>0</v>
      </c>
      <c r="AX65" s="12">
        <f>ROUND(G65*AP65,2)</f>
        <v>0</v>
      </c>
      <c r="AY65" s="11" t="s">
        <v>230</v>
      </c>
      <c r="AZ65" s="11" t="s">
        <v>225</v>
      </c>
      <c r="BA65" s="41" t="s">
        <v>136</v>
      </c>
      <c r="BC65" s="12">
        <f>AW65+AX65</f>
        <v>0</v>
      </c>
      <c r="BD65" s="12">
        <f>H65/(100-BE65)*100</f>
        <v>0</v>
      </c>
      <c r="BE65" s="12">
        <v>0</v>
      </c>
      <c r="BF65" s="12">
        <f>65</f>
        <v>65</v>
      </c>
      <c r="BH65" s="12">
        <f>G65*AO65</f>
        <v>0</v>
      </c>
      <c r="BI65" s="12">
        <f>G65*AP65</f>
        <v>0</v>
      </c>
      <c r="BJ65" s="12">
        <f>G65*H65</f>
        <v>0</v>
      </c>
      <c r="BK65" s="12"/>
      <c r="BL65" s="12">
        <v>93</v>
      </c>
      <c r="BW65" s="12">
        <v>21</v>
      </c>
      <c r="BX65" s="57" t="s">
        <v>234</v>
      </c>
    </row>
    <row r="66" spans="1:76" x14ac:dyDescent="0.2">
      <c r="A66" s="1" t="s">
        <v>235</v>
      </c>
      <c r="B66" s="2" t="s">
        <v>18</v>
      </c>
      <c r="C66" s="2" t="s">
        <v>236</v>
      </c>
      <c r="D66" s="87" t="s">
        <v>246</v>
      </c>
      <c r="E66" s="82"/>
      <c r="F66" s="2" t="s">
        <v>216</v>
      </c>
      <c r="G66" s="12">
        <v>269.27999999999997</v>
      </c>
      <c r="H66" s="69">
        <v>0</v>
      </c>
      <c r="I66" s="69">
        <f>ROUND(G66*H66,2)</f>
        <v>0</v>
      </c>
      <c r="K66" s="45"/>
      <c r="Z66" s="12">
        <f>ROUND(IF(AQ66="5",BJ66,0),2)</f>
        <v>0</v>
      </c>
      <c r="AB66" s="12">
        <f>ROUND(IF(AQ66="1",BH66,0),2)</f>
        <v>0</v>
      </c>
      <c r="AC66" s="12">
        <f>ROUND(IF(AQ66="1",BI66,0),2)</f>
        <v>0</v>
      </c>
      <c r="AD66" s="12">
        <f>ROUND(IF(AQ66="7",BH66,0),2)</f>
        <v>0</v>
      </c>
      <c r="AE66" s="12">
        <f>ROUND(IF(AQ66="7",BI66,0),2)</f>
        <v>0</v>
      </c>
      <c r="AF66" s="12">
        <f>ROUND(IF(AQ66="2",BH66,0),2)</f>
        <v>0</v>
      </c>
      <c r="AG66" s="12">
        <f>ROUND(IF(AQ66="2",BI66,0),2)</f>
        <v>0</v>
      </c>
      <c r="AH66" s="12">
        <f>ROUND(IF(AQ66="0",BJ66,0),2)</f>
        <v>0</v>
      </c>
      <c r="AI66" s="41" t="s">
        <v>18</v>
      </c>
      <c r="AJ66" s="12">
        <f>IF(AN66=0,I66,0)</f>
        <v>0</v>
      </c>
      <c r="AK66" s="12">
        <f>IF(AN66=12,I66,0)</f>
        <v>0</v>
      </c>
      <c r="AL66" s="12">
        <f>IF(AN66=21,I66,0)</f>
        <v>0</v>
      </c>
      <c r="AN66" s="12">
        <v>21</v>
      </c>
      <c r="AO66" s="12">
        <f>H66*1</f>
        <v>0</v>
      </c>
      <c r="AP66" s="12">
        <f>H66*(1-1)</f>
        <v>0</v>
      </c>
      <c r="AQ66" s="11" t="s">
        <v>130</v>
      </c>
      <c r="AV66" s="12">
        <f>ROUND(AW66+AX66,2)</f>
        <v>0</v>
      </c>
      <c r="AW66" s="12">
        <f>ROUND(G66*AO66,2)</f>
        <v>0</v>
      </c>
      <c r="AX66" s="12">
        <f>ROUND(G66*AP66,2)</f>
        <v>0</v>
      </c>
      <c r="AY66" s="11" t="s">
        <v>230</v>
      </c>
      <c r="AZ66" s="11" t="s">
        <v>225</v>
      </c>
      <c r="BA66" s="41" t="s">
        <v>136</v>
      </c>
      <c r="BC66" s="12">
        <f>AW66+AX66</f>
        <v>0</v>
      </c>
      <c r="BD66" s="12">
        <f>H66/(100-BE66)*100</f>
        <v>0</v>
      </c>
      <c r="BE66" s="12">
        <v>0</v>
      </c>
      <c r="BF66" s="12">
        <f>66</f>
        <v>66</v>
      </c>
      <c r="BH66" s="12">
        <f>G66*AO66</f>
        <v>0</v>
      </c>
      <c r="BI66" s="12">
        <f>G66*AP66</f>
        <v>0</v>
      </c>
      <c r="BJ66" s="12">
        <f>G66*H66</f>
        <v>0</v>
      </c>
      <c r="BK66" s="12"/>
      <c r="BL66" s="12">
        <v>93</v>
      </c>
      <c r="BW66" s="12">
        <v>21</v>
      </c>
      <c r="BX66" s="57" t="s">
        <v>237</v>
      </c>
    </row>
    <row r="67" spans="1:76" x14ac:dyDescent="0.2">
      <c r="A67" s="50"/>
      <c r="D67" s="51" t="s">
        <v>238</v>
      </c>
      <c r="E67" s="51" t="s">
        <v>18</v>
      </c>
      <c r="G67" s="52">
        <v>269.27999999999997</v>
      </c>
      <c r="K67" s="45"/>
    </row>
    <row r="68" spans="1:76" x14ac:dyDescent="0.2">
      <c r="A68" s="1" t="s">
        <v>239</v>
      </c>
      <c r="B68" s="2" t="s">
        <v>18</v>
      </c>
      <c r="C68" s="2" t="s">
        <v>240</v>
      </c>
      <c r="D68" s="87" t="s">
        <v>241</v>
      </c>
      <c r="E68" s="82"/>
      <c r="F68" s="2" t="s">
        <v>200</v>
      </c>
      <c r="G68" s="12">
        <v>159.71299999999999</v>
      </c>
      <c r="H68" s="69">
        <v>0</v>
      </c>
      <c r="I68" s="69">
        <f>ROUND(G68*H68,2)</f>
        <v>0</v>
      </c>
      <c r="K68" s="45"/>
      <c r="Z68" s="12">
        <f>ROUND(IF(AQ68="5",BJ68,0),2)</f>
        <v>0</v>
      </c>
      <c r="AB68" s="12">
        <f>ROUND(IF(AQ68="1",BH68,0),2)</f>
        <v>0</v>
      </c>
      <c r="AC68" s="12">
        <f>ROUND(IF(AQ68="1",BI68,0),2)</f>
        <v>0</v>
      </c>
      <c r="AD68" s="12">
        <f>ROUND(IF(AQ68="7",BH68,0),2)</f>
        <v>0</v>
      </c>
      <c r="AE68" s="12">
        <f>ROUND(IF(AQ68="7",BI68,0),2)</f>
        <v>0</v>
      </c>
      <c r="AF68" s="12">
        <f>ROUND(IF(AQ68="2",BH68,0),2)</f>
        <v>0</v>
      </c>
      <c r="AG68" s="12">
        <f>ROUND(IF(AQ68="2",BI68,0),2)</f>
        <v>0</v>
      </c>
      <c r="AH68" s="12">
        <f>ROUND(IF(AQ68="0",BJ68,0),2)</f>
        <v>0</v>
      </c>
      <c r="AI68" s="41" t="s">
        <v>18</v>
      </c>
      <c r="AJ68" s="12">
        <f>IF(AN68=0,I68,0)</f>
        <v>0</v>
      </c>
      <c r="AK68" s="12">
        <f>IF(AN68=12,I68,0)</f>
        <v>0</v>
      </c>
      <c r="AL68" s="12">
        <f>IF(AN68=21,I68,0)</f>
        <v>0</v>
      </c>
      <c r="AN68" s="12">
        <v>21</v>
      </c>
      <c r="AO68" s="12">
        <f>H68*0</f>
        <v>0</v>
      </c>
      <c r="AP68" s="12">
        <f>H68*(1-0)</f>
        <v>0</v>
      </c>
      <c r="AQ68" s="11" t="s">
        <v>146</v>
      </c>
      <c r="AV68" s="12">
        <f>ROUND(AW68+AX68,2)</f>
        <v>0</v>
      </c>
      <c r="AW68" s="12">
        <f>ROUND(G68*AO68,2)</f>
        <v>0</v>
      </c>
      <c r="AX68" s="12">
        <f>ROUND(G68*AP68,2)</f>
        <v>0</v>
      </c>
      <c r="AY68" s="11" t="s">
        <v>230</v>
      </c>
      <c r="AZ68" s="11" t="s">
        <v>225</v>
      </c>
      <c r="BA68" s="41" t="s">
        <v>136</v>
      </c>
      <c r="BC68" s="12">
        <f>AW68+AX68</f>
        <v>0</v>
      </c>
      <c r="BD68" s="12">
        <f>H68/(100-BE68)*100</f>
        <v>0</v>
      </c>
      <c r="BE68" s="12">
        <v>0</v>
      </c>
      <c r="BF68" s="12">
        <f>68</f>
        <v>68</v>
      </c>
      <c r="BH68" s="12">
        <f>G68*AO68</f>
        <v>0</v>
      </c>
      <c r="BI68" s="12">
        <f>G68*AP68</f>
        <v>0</v>
      </c>
      <c r="BJ68" s="12">
        <f>G68*H68</f>
        <v>0</v>
      </c>
      <c r="BK68" s="12"/>
      <c r="BL68" s="12">
        <v>93</v>
      </c>
      <c r="BW68" s="12">
        <v>21</v>
      </c>
      <c r="BX68" s="57" t="s">
        <v>241</v>
      </c>
    </row>
    <row r="69" spans="1:76" x14ac:dyDescent="0.2">
      <c r="A69" s="48" t="s">
        <v>18</v>
      </c>
      <c r="B69" s="60" t="s">
        <v>18</v>
      </c>
      <c r="C69" s="60" t="s">
        <v>42</v>
      </c>
      <c r="D69" s="159" t="s">
        <v>43</v>
      </c>
      <c r="E69" s="160"/>
      <c r="F69" s="49" t="s">
        <v>3</v>
      </c>
      <c r="G69" s="49" t="s">
        <v>3</v>
      </c>
      <c r="H69" s="70" t="s">
        <v>3</v>
      </c>
      <c r="I69" s="62">
        <f>SUM(I70:I70)</f>
        <v>0</v>
      </c>
      <c r="K69" s="45"/>
      <c r="AI69" s="41" t="s">
        <v>18</v>
      </c>
      <c r="AS69" s="36">
        <f>SUM(AJ70:AJ70)</f>
        <v>0</v>
      </c>
      <c r="AT69" s="36">
        <f>SUM(AK70:AK70)</f>
        <v>0</v>
      </c>
      <c r="AU69" s="36">
        <f>SUM(AL70:AL70)</f>
        <v>0</v>
      </c>
    </row>
    <row r="70" spans="1:76" x14ac:dyDescent="0.2">
      <c r="A70" s="58" t="s">
        <v>242</v>
      </c>
      <c r="B70" s="56" t="s">
        <v>18</v>
      </c>
      <c r="C70" s="56" t="s">
        <v>243</v>
      </c>
      <c r="D70" s="161" t="s">
        <v>244</v>
      </c>
      <c r="E70" s="90"/>
      <c r="F70" s="56" t="s">
        <v>200</v>
      </c>
      <c r="G70" s="53">
        <v>-109.045</v>
      </c>
      <c r="H70" s="71">
        <v>0</v>
      </c>
      <c r="I70" s="71">
        <f>ROUND(G70*H70,2)</f>
        <v>0</v>
      </c>
      <c r="J70" s="81"/>
      <c r="K70" s="54"/>
      <c r="Z70" s="12">
        <f>ROUND(IF(AQ70="5",BJ70,0),2)</f>
        <v>0</v>
      </c>
      <c r="AB70" s="12">
        <f>ROUND(IF(AQ70="1",BH70,0),2)</f>
        <v>0</v>
      </c>
      <c r="AC70" s="12">
        <f>ROUND(IF(AQ70="1",BI70,0),2)</f>
        <v>0</v>
      </c>
      <c r="AD70" s="12">
        <f>ROUND(IF(AQ70="7",BH70,0),2)</f>
        <v>0</v>
      </c>
      <c r="AE70" s="12">
        <f>ROUND(IF(AQ70="7",BI70,0),2)</f>
        <v>0</v>
      </c>
      <c r="AF70" s="12">
        <f>ROUND(IF(AQ70="2",BH70,0),2)</f>
        <v>0</v>
      </c>
      <c r="AG70" s="12">
        <f>ROUND(IF(AQ70="2",BI70,0),2)</f>
        <v>0</v>
      </c>
      <c r="AH70" s="12">
        <f>ROUND(IF(AQ70="0",BJ70,0),2)</f>
        <v>0</v>
      </c>
      <c r="AI70" s="41" t="s">
        <v>18</v>
      </c>
      <c r="AJ70" s="12">
        <f>IF(AN70=0,I70,0)</f>
        <v>0</v>
      </c>
      <c r="AK70" s="12">
        <f>IF(AN70=12,I70,0)</f>
        <v>0</v>
      </c>
      <c r="AL70" s="12">
        <f>IF(AN70=21,I70,0)</f>
        <v>0</v>
      </c>
      <c r="AN70" s="12">
        <v>21</v>
      </c>
      <c r="AO70" s="12">
        <f>H70*0</f>
        <v>0</v>
      </c>
      <c r="AP70" s="12">
        <f>H70*(1-0)</f>
        <v>0</v>
      </c>
      <c r="AQ70" s="11" t="s">
        <v>146</v>
      </c>
      <c r="AV70" s="12">
        <f>ROUND(AW70+AX70,2)</f>
        <v>0</v>
      </c>
      <c r="AW70" s="12">
        <f>ROUND(G70*AO70,2)</f>
        <v>0</v>
      </c>
      <c r="AX70" s="12">
        <f>ROUND(G70*AP70,2)</f>
        <v>0</v>
      </c>
      <c r="AY70" s="11" t="s">
        <v>245</v>
      </c>
      <c r="AZ70" s="11" t="s">
        <v>225</v>
      </c>
      <c r="BA70" s="41" t="s">
        <v>136</v>
      </c>
      <c r="BC70" s="12">
        <f>AW70+AX70</f>
        <v>0</v>
      </c>
      <c r="BD70" s="12">
        <f>H70/(100-BE70)*100</f>
        <v>0</v>
      </c>
      <c r="BE70" s="12">
        <v>0</v>
      </c>
      <c r="BF70" s="12">
        <f>70</f>
        <v>70</v>
      </c>
      <c r="BH70" s="12">
        <f>G70*AO70</f>
        <v>0</v>
      </c>
      <c r="BI70" s="12">
        <f>G70*AP70</f>
        <v>0</v>
      </c>
      <c r="BJ70" s="12">
        <f>G70*H70</f>
        <v>0</v>
      </c>
      <c r="BK70" s="12"/>
      <c r="BL70" s="12"/>
      <c r="BW70" s="12">
        <v>21</v>
      </c>
      <c r="BX70" s="57" t="s">
        <v>244</v>
      </c>
    </row>
    <row r="71" spans="1:76" x14ac:dyDescent="0.2">
      <c r="I71" s="72">
        <f>ROUND(I12+I17+I27+I31+I36+I41+I45+I53+I56+I59+I62+I69,2)</f>
        <v>0</v>
      </c>
    </row>
    <row r="72" spans="1:76" x14ac:dyDescent="0.2">
      <c r="A72" s="55" t="s">
        <v>91</v>
      </c>
    </row>
  </sheetData>
  <sheetProtection algorithmName="SHA-512" hashValue="srsI6VTgGYUrlaW5S6NDUG3M5Qk3O0oAn/slqmk8nFZuhntdT7mORUchYeZBK+xs3G3vgEJiors1abPZOqw3ag==" saltValue="kHbqZdO5s+tiC+kspOD2hQ==" spinCount="100000" sheet="1" objects="1" scenarios="1"/>
  <mergeCells count="59">
    <mergeCell ref="A1:G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  <mergeCell ref="D10:E10"/>
    <mergeCell ref="D8:E9"/>
    <mergeCell ref="H2:H3"/>
    <mergeCell ref="H4:H5"/>
    <mergeCell ref="H6:H7"/>
    <mergeCell ref="H8:H9"/>
    <mergeCell ref="D11:E11"/>
    <mergeCell ref="D12:E12"/>
    <mergeCell ref="D13:E13"/>
    <mergeCell ref="D14:E14"/>
    <mergeCell ref="D15:E15"/>
    <mergeCell ref="D16:E16"/>
    <mergeCell ref="D17:E17"/>
    <mergeCell ref="D18:E18"/>
    <mergeCell ref="D24:E24"/>
    <mergeCell ref="D27:E27"/>
    <mergeCell ref="D28:E28"/>
    <mergeCell ref="D31:E31"/>
    <mergeCell ref="D32:E32"/>
    <mergeCell ref="D34:E34"/>
    <mergeCell ref="D36:E36"/>
    <mergeCell ref="D37:E37"/>
    <mergeCell ref="D41:E41"/>
    <mergeCell ref="D42:E42"/>
    <mergeCell ref="D45:E45"/>
    <mergeCell ref="D46:E46"/>
    <mergeCell ref="D48:E48"/>
    <mergeCell ref="D50:E50"/>
    <mergeCell ref="D51:E51"/>
    <mergeCell ref="D53:E53"/>
    <mergeCell ref="D54:E54"/>
    <mergeCell ref="D56:E56"/>
    <mergeCell ref="D57:E57"/>
    <mergeCell ref="D58:E58"/>
    <mergeCell ref="D59:E59"/>
    <mergeCell ref="D60:E60"/>
    <mergeCell ref="D69:E69"/>
    <mergeCell ref="D70:E70"/>
    <mergeCell ref="D62:E62"/>
    <mergeCell ref="D63:E63"/>
    <mergeCell ref="D65:E65"/>
    <mergeCell ref="D66:E66"/>
    <mergeCell ref="D68:E68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 - součet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Markéta Vodáková</cp:lastModifiedBy>
  <dcterms:created xsi:type="dcterms:W3CDTF">2021-06-10T20:06:38Z</dcterms:created>
  <dcterms:modified xsi:type="dcterms:W3CDTF">2025-03-27T07:44:43Z</dcterms:modified>
</cp:coreProperties>
</file>